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e691d8fe76c8986/Documents/Finance/Budgets/ARMTA Budget 2020-2021/"/>
    </mc:Choice>
  </mc:AlternateContent>
  <xr:revisionPtr revIDLastSave="28" documentId="8_{76DC0DA5-6B0B-4A87-A49F-24E3CD300A00}" xr6:coauthVersionLast="45" xr6:coauthVersionMax="45" xr10:uidLastSave="{5DA858B7-6CED-4FA1-AC8F-E6FC3087844D}"/>
  <bookViews>
    <workbookView xWindow="-120" yWindow="-120" windowWidth="24240" windowHeight="13140" activeTab="2" xr2:uid="{981E79C7-BFE5-4874-A18C-E1DDEDC0A1B3}"/>
  </bookViews>
  <sheets>
    <sheet name="Profit &amp; Loss with Budget" sheetId="1" r:id="rId1"/>
    <sheet name="Recognition Fund" sheetId="2" r:id="rId2"/>
    <sheet name="Board Expenses" sheetId="3" r:id="rId3"/>
  </sheets>
  <definedNames>
    <definedName name="_xlnm.Print_Area" localSheetId="0">'Profit &amp; Loss with Budget'!$A$1:$R$136</definedName>
    <definedName name="_xlnm.Print_Titles" localSheetId="0">'Profit &amp; Loss with Budget'!$A:$E,'Profit &amp; Loss with Budget'!$1:$2</definedName>
    <definedName name="QB_COLUMN_290" localSheetId="0" hidden="1">'Profit &amp; Loss with Budget'!$J$1</definedName>
    <definedName name="QB_COLUMN_59201" localSheetId="0" hidden="1">'Profit &amp; Loss with Budget'!$F$2</definedName>
    <definedName name="QB_COLUMN_59202" localSheetId="0" hidden="1">'Profit &amp; Loss with Budget'!$J$2</definedName>
    <definedName name="QB_COLUMN_59300" localSheetId="0" hidden="1">'Profit &amp; Loss with Budget'!$N$2</definedName>
    <definedName name="QB_COLUMN_63620" localSheetId="0" hidden="1">'Profit &amp; Loss with Budget'!$P$2</definedName>
    <definedName name="QB_COLUMN_63621" localSheetId="0" hidden="1">'Profit &amp; Loss with Budget'!$H$2</definedName>
    <definedName name="QB_COLUMN_63622" localSheetId="0" hidden="1">'Profit &amp; Loss with Budget'!$L$2</definedName>
    <definedName name="QB_COLUMN_76211" localSheetId="0" hidden="1">'Profit &amp; Loss with Budget'!$G$2</definedName>
    <definedName name="QB_COLUMN_76212" localSheetId="0" hidden="1">'Profit &amp; Loss with Budget'!$K$2</definedName>
    <definedName name="QB_COLUMN_76310" localSheetId="0" hidden="1">'Profit &amp; Loss with Budget'!$O$2</definedName>
    <definedName name="QB_DATA_0" localSheetId="0" hidden="1">'Profit &amp; Loss with Budget'!$4:$4,'Profit &amp; Loss with Budget'!$5:$5,'Profit &amp; Loss with Budget'!$7:$7,'Profit &amp; Loss with Budget'!$8:$8,'Profit &amp; Loss with Budget'!$10:$10,'Profit &amp; Loss with Budget'!$11:$11,'Profit &amp; Loss with Budget'!$13:$13,'Profit &amp; Loss with Budget'!$14:$14,'Profit &amp; Loss with Budget'!$15:$15,'Profit &amp; Loss with Budget'!$16:$16,'Profit &amp; Loss with Budget'!$17:$17,'Profit &amp; Loss with Budget'!$18:$18,'Profit &amp; Loss with Budget'!#REF!,'Profit &amp; Loss with Budget'!$20:$20,'Profit &amp; Loss with Budget'!$24:$24,'Profit &amp; Loss with Budget'!#REF!</definedName>
    <definedName name="QB_DATA_1" localSheetId="0" hidden="1">'Profit &amp; Loss with Budget'!$25:$25,'Profit &amp; Loss with Budget'!$26:$26,'Profit &amp; Loss with Budget'!$27:$27,'Profit &amp; Loss with Budget'!$28:$28,'Profit &amp; Loss with Budget'!$29:$29,'Profit &amp; Loss with Budget'!$30:$30,'Profit &amp; Loss with Budget'!$31:$31,'Profit &amp; Loss with Budget'!$32:$32,'Profit &amp; Loss with Budget'!$33:$33,'Profit &amp; Loss with Budget'!$36:$36,'Profit &amp; Loss with Budget'!$37:$37,'Profit &amp; Loss with Budget'!$41:$41,'Profit &amp; Loss with Budget'!$42:$42,'Profit &amp; Loss with Budget'!$43:$43,'Profit &amp; Loss with Budget'!$44:$44,'Profit &amp; Loss with Budget'!#REF!</definedName>
    <definedName name="QB_DATA_2" localSheetId="0" hidden="1">'Profit &amp; Loss with Budget'!$47:$47,'Profit &amp; Loss with Budget'!$48:$48,'Profit &amp; Loss with Budget'!$49:$49,'Profit &amp; Loss with Budget'!$50:$50,'Profit &amp; Loss with Budget'!$51:$51,'Profit &amp; Loss with Budget'!$53:$53,'Profit &amp; Loss with Budget'!$54:$54,'Profit &amp; Loss with Budget'!$55:$55,'Profit &amp; Loss with Budget'!$56:$56,'Profit &amp; Loss with Budget'!$59:$59,'Profit &amp; Loss with Budget'!$60:$60,'Profit &amp; Loss with Budget'!$63:$63,'Profit &amp; Loss with Budget'!$64:$64,'Profit &amp; Loss with Budget'!$66:$66,'Profit &amp; Loss with Budget'!$67:$67,'Profit &amp; Loss with Budget'!$69:$69</definedName>
    <definedName name="QB_DATA_3" localSheetId="0" hidden="1">'Profit &amp; Loss with Budget'!$70:$70,'Profit &amp; Loss with Budget'!$71:$71,'Profit &amp; Loss with Budget'!$73:$73,'Profit &amp; Loss with Budget'!$77:$77,'Profit &amp; Loss with Budget'!$78:$78,'Profit &amp; Loss with Budget'!$79:$79,'Profit &amp; Loss with Budget'!$81:$81,'Profit &amp; Loss with Budget'!$82:$82,'Profit &amp; Loss with Budget'!$83:$83,'Profit &amp; Loss with Budget'!$85:$85,'Profit &amp; Loss with Budget'!$86:$86,'Profit &amp; Loss with Budget'!$87:$87,'Profit &amp; Loss with Budget'!$90:$90,'Profit &amp; Loss with Budget'!$91:$91,'Profit &amp; Loss with Budget'!$92:$92,'Profit &amp; Loss with Budget'!$93:$93</definedName>
    <definedName name="QB_DATA_4" localSheetId="0" hidden="1">'Profit &amp; Loss with Budget'!#REF!,'Profit &amp; Loss with Budget'!$96:$96,'Profit &amp; Loss with Budget'!$97:$97,'Profit &amp; Loss with Budget'!$98:$98,'Profit &amp; Loss with Budget'!$100:$100,'Profit &amp; Loss with Budget'!$103:$103,'Profit &amp; Loss with Budget'!$104:$104,'Profit &amp; Loss with Budget'!$105:$105,'Profit &amp; Loss with Budget'!#REF!,'Profit &amp; Loss with Budget'!$108:$108,'Profit &amp; Loss with Budget'!$109:$109,'Profit &amp; Loss with Budget'!$110:$110,'Profit &amp; Loss with Budget'!#REF!,'Profit &amp; Loss with Budget'!$111:$111,'Profit &amp; Loss with Budget'!$112:$112,'Profit &amp; Loss with Budget'!$115:$115</definedName>
    <definedName name="QB_DATA_5" localSheetId="0" hidden="1">'Profit &amp; Loss with Budget'!$116:$116,'Profit &amp; Loss with Budget'!$117:$117,'Profit &amp; Loss with Budget'!$118:$118,'Profit &amp; Loss with Budget'!$119:$119,'Profit &amp; Loss with Budget'!$120:$120,'Profit &amp; Loss with Budget'!$121:$121,'Profit &amp; Loss with Budget'!$122:$122,'Profit &amp; Loss with Budget'!$123:$123,'Profit &amp; Loss with Budget'!$124:$124,'Profit &amp; Loss with Budget'!$125:$125,'Profit &amp; Loss with Budget'!$128:$128,'Profit &amp; Loss with Budget'!$129:$129,'Profit &amp; Loss with Budget'!$131:$131</definedName>
    <definedName name="QB_FORMULA_0" localSheetId="0" hidden="1">'Profit &amp; Loss with Budget'!$H$4,'Profit &amp; Loss with Budget'!$L$4,'Profit &amp; Loss with Budget'!$N$4,'Profit &amp; Loss with Budget'!$O$4,'Profit &amp; Loss with Budget'!$P$4,'Profit &amp; Loss with Budget'!$H$5,'Profit &amp; Loss with Budget'!$L$5,'Profit &amp; Loss with Budget'!$N$5,'Profit &amp; Loss with Budget'!$O$5,'Profit &amp; Loss with Budget'!$P$5,'Profit &amp; Loss with Budget'!$H$7,'Profit &amp; Loss with Budget'!$L$7,'Profit &amp; Loss with Budget'!$N$7,'Profit &amp; Loss with Budget'!$O$7,'Profit &amp; Loss with Budget'!$P$7,'Profit &amp; Loss with Budget'!$H$8</definedName>
    <definedName name="QB_FORMULA_1" localSheetId="0" hidden="1">'Profit &amp; Loss with Budget'!$L$8,'Profit &amp; Loss with Budget'!$N$8,'Profit &amp; Loss with Budget'!$O$8,'Profit &amp; Loss with Budget'!$P$8,'Profit &amp; Loss with Budget'!$F$9,'Profit &amp; Loss with Budget'!$G$9,'Profit &amp; Loss with Budget'!$H$9,'Profit &amp; Loss with Budget'!$J$9,'Profit &amp; Loss with Budget'!$K$9,'Profit &amp; Loss with Budget'!$L$9,'Profit &amp; Loss with Budget'!$N$9,'Profit &amp; Loss with Budget'!$O$9,'Profit &amp; Loss with Budget'!$P$9,'Profit &amp; Loss with Budget'!$H$10,'Profit &amp; Loss with Budget'!$L$10,'Profit &amp; Loss with Budget'!$P$10</definedName>
    <definedName name="QB_FORMULA_10" localSheetId="0" hidden="1">'Profit &amp; Loss with Budget'!$P$36,'Profit &amp; Loss with Budget'!$H$37,'Profit &amp; Loss with Budget'!$L$37,'Profit &amp; Loss with Budget'!$N$37,'Profit &amp; Loss with Budget'!$O$37,'Profit &amp; Loss with Budget'!$P$37,'Profit &amp; Loss with Budget'!$F$38,'Profit &amp; Loss with Budget'!$G$38,'Profit &amp; Loss with Budget'!$H$38,'Profit &amp; Loss with Budget'!$J$38,'Profit &amp; Loss with Budget'!$K$38,'Profit &amp; Loss with Budget'!$L$38,'Profit &amp; Loss with Budget'!$N$38,'Profit &amp; Loss with Budget'!$O$38,'Profit &amp; Loss with Budget'!$P$38,'Profit &amp; Loss with Budget'!$H$41</definedName>
    <definedName name="QB_FORMULA_11" localSheetId="0" hidden="1">'Profit &amp; Loss with Budget'!$L$41,'Profit &amp; Loss with Budget'!$N$41,'Profit &amp; Loss with Budget'!$O$41,'Profit &amp; Loss with Budget'!$P$41,'Profit &amp; Loss with Budget'!$H$42,'Profit &amp; Loss with Budget'!$L$42,'Profit &amp; Loss with Budget'!$N$42,'Profit &amp; Loss with Budget'!$O$42,'Profit &amp; Loss with Budget'!$P$42,'Profit &amp; Loss with Budget'!$H$43,'Profit &amp; Loss with Budget'!$L$43,'Profit &amp; Loss with Budget'!$N$43,'Profit &amp; Loss with Budget'!$O$43,'Profit &amp; Loss with Budget'!$P$43,'Profit &amp; Loss with Budget'!$L$44,'Profit &amp; Loss with Budget'!$N$44</definedName>
    <definedName name="QB_FORMULA_12" localSheetId="0" hidden="1">'Profit &amp; Loss with Budget'!$O$44,'Profit &amp; Loss with Budget'!$P$44,'Profit &amp; Loss with Budget'!$F$45,'Profit &amp; Loss with Budget'!$G$45,'Profit &amp; Loss with Budget'!$H$45,'Profit &amp; Loss with Budget'!$J$45,'Profit &amp; Loss with Budget'!$K$45,'Profit &amp; Loss with Budget'!$L$45,'Profit &amp; Loss with Budget'!$N$45,'Profit &amp; Loss with Budget'!$O$45,'Profit &amp; Loss with Budget'!$P$45,'Profit &amp; Loss with Budget'!#REF!,'Profit &amp; Loss with Budget'!#REF!,'Profit &amp; Loss with Budget'!#REF!,'Profit &amp; Loss with Budget'!#REF!,'Profit &amp; Loss with Budget'!$H$47</definedName>
    <definedName name="QB_FORMULA_13" localSheetId="0" hidden="1">'Profit &amp; Loss with Budget'!$L$47,'Profit &amp; Loss with Budget'!$N$47,'Profit &amp; Loss with Budget'!$O$47,'Profit &amp; Loss with Budget'!$P$47,'Profit &amp; Loss with Budget'!$H$48,'Profit &amp; Loss with Budget'!$L$48,'Profit &amp; Loss with Budget'!$N$48,'Profit &amp; Loss with Budget'!$O$48,'Profit &amp; Loss with Budget'!$P$48,'Profit &amp; Loss with Budget'!$H$49,'Profit &amp; Loss with Budget'!$L$49,'Profit &amp; Loss with Budget'!$N$49,'Profit &amp; Loss with Budget'!$O$49,'Profit &amp; Loss with Budget'!$P$49,'Profit &amp; Loss with Budget'!$H$50,'Profit &amp; Loss with Budget'!$L$50</definedName>
    <definedName name="QB_FORMULA_14" localSheetId="0" hidden="1">'Profit &amp; Loss with Budget'!$N$50,'Profit &amp; Loss with Budget'!$O$50,'Profit &amp; Loss with Budget'!$P$50,'Profit &amp; Loss with Budget'!$L$51,'Profit &amp; Loss with Budget'!$N$51,'Profit &amp; Loss with Budget'!$O$51,'Profit &amp; Loss with Budget'!$P$51,'Profit &amp; Loss with Budget'!$F$52,'Profit &amp; Loss with Budget'!$G$52,'Profit &amp; Loss with Budget'!$H$52,'Profit &amp; Loss with Budget'!$J$52,'Profit &amp; Loss with Budget'!$K$52,'Profit &amp; Loss with Budget'!$L$52,'Profit &amp; Loss with Budget'!$N$52,'Profit &amp; Loss with Budget'!$O$52,'Profit &amp; Loss with Budget'!$P$52</definedName>
    <definedName name="QB_FORMULA_15" localSheetId="0" hidden="1">'Profit &amp; Loss with Budget'!$H$53,'Profit &amp; Loss with Budget'!$L$53,'Profit &amp; Loss with Budget'!$N$53,'Profit &amp; Loss with Budget'!$O$53,'Profit &amp; Loss with Budget'!$P$53,'Profit &amp; Loss with Budget'!$H$54,'Profit &amp; Loss with Budget'!$L$54,'Profit &amp; Loss with Budget'!$N$54,'Profit &amp; Loss with Budget'!$O$54,'Profit &amp; Loss with Budget'!$P$54,'Profit &amp; Loss with Budget'!$H$55,'Profit &amp; Loss with Budget'!$L$55,'Profit &amp; Loss with Budget'!$N$55,'Profit &amp; Loss with Budget'!$O$55,'Profit &amp; Loss with Budget'!$P$55,'Profit &amp; Loss with Budget'!$H$56</definedName>
    <definedName name="QB_FORMULA_16" localSheetId="0" hidden="1">'Profit &amp; Loss with Budget'!$L$56,'Profit &amp; Loss with Budget'!$N$56,'Profit &amp; Loss with Budget'!$O$56,'Profit &amp; Loss with Budget'!$P$56,'Profit &amp; Loss with Budget'!$F$57,'Profit &amp; Loss with Budget'!$G$57,'Profit &amp; Loss with Budget'!$H$57,'Profit &amp; Loss with Budget'!$J$57,'Profit &amp; Loss with Budget'!$K$57,'Profit &amp; Loss with Budget'!$L$57,'Profit &amp; Loss with Budget'!$N$57,'Profit &amp; Loss with Budget'!$O$57,'Profit &amp; Loss with Budget'!$P$57,'Profit &amp; Loss with Budget'!$H$59,'Profit &amp; Loss with Budget'!$L$59,'Profit &amp; Loss with Budget'!$N$59</definedName>
    <definedName name="QB_FORMULA_17" localSheetId="0" hidden="1">'Profit &amp; Loss with Budget'!$O$59,'Profit &amp; Loss with Budget'!$P$60,'Profit &amp; Loss with Budget'!$H$60,'Profit &amp; Loss with Budget'!$L$60,'Profit &amp; Loss with Budget'!$N$60,'Profit &amp; Loss with Budget'!$O$60,'Profit &amp; Loss with Budget'!#REF!,'Profit &amp; Loss with Budget'!$H$63,'Profit &amp; Loss with Budget'!$L$63,'Profit &amp; Loss with Budget'!$N$63,'Profit &amp; Loss with Budget'!$O$63,'Profit &amp; Loss with Budget'!$P$63,'Profit &amp; Loss with Budget'!$H$64,'Profit &amp; Loss with Budget'!$L$64,'Profit &amp; Loss with Budget'!$N$64,'Profit &amp; Loss with Budget'!$O$64</definedName>
    <definedName name="QB_FORMULA_18" localSheetId="0" hidden="1">'Profit &amp; Loss with Budget'!$P$64,'Profit &amp; Loss with Budget'!$F$65,'Profit &amp; Loss with Budget'!$G$65,'Profit &amp; Loss with Budget'!$H$65,'Profit &amp; Loss with Budget'!$J$65,'Profit &amp; Loss with Budget'!$K$65,'Profit &amp; Loss with Budget'!$L$65,'Profit &amp; Loss with Budget'!$N$65,'Profit &amp; Loss with Budget'!$O$65,'Profit &amp; Loss with Budget'!$P$65,'Profit &amp; Loss with Budget'!$H$66,'Profit &amp; Loss with Budget'!$L$66,'Profit &amp; Loss with Budget'!$N$66,'Profit &amp; Loss with Budget'!$O$66,'Profit &amp; Loss with Budget'!$P$66,'Profit &amp; Loss with Budget'!$H$67</definedName>
    <definedName name="QB_FORMULA_19" localSheetId="0" hidden="1">'Profit &amp; Loss with Budget'!$L$67,'Profit &amp; Loss with Budget'!$N$67,'Profit &amp; Loss with Budget'!$O$67,'Profit &amp; Loss with Budget'!$P$67,'Profit &amp; Loss with Budget'!$H$69,'Profit &amp; Loss with Budget'!$L$69,'Profit &amp; Loss with Budget'!$N$69,'Profit &amp; Loss with Budget'!$O$69,'Profit &amp; Loss with Budget'!$P$69,'Profit &amp; Loss with Budget'!$H$70,'Profit &amp; Loss with Budget'!$L$70,'Profit &amp; Loss with Budget'!$N$70,'Profit &amp; Loss with Budget'!$O$70,'Profit &amp; Loss with Budget'!$P$70,'Profit &amp; Loss with Budget'!$H$71,'Profit &amp; Loss with Budget'!$L$71</definedName>
    <definedName name="QB_FORMULA_2" localSheetId="0" hidden="1">'Profit &amp; Loss with Budget'!$O$10,'Profit &amp; Loss with Budget'!#REF!,'Profit &amp; Loss with Budget'!$H$11,'Profit &amp; Loss with Budget'!$L$11,'Profit &amp; Loss with Budget'!$N$11,'Profit &amp; Loss with Budget'!$O$11,'Profit &amp; Loss with Budget'!$P$11,'Profit &amp; Loss with Budget'!$H$13,'Profit &amp; Loss with Budget'!$L$13,'Profit &amp; Loss with Budget'!$N$13,'Profit &amp; Loss with Budget'!$O$13,'Profit &amp; Loss with Budget'!$P$13,'Profit &amp; Loss with Budget'!$H$14,'Profit &amp; Loss with Budget'!$L$14,'Profit &amp; Loss with Budget'!$N$14,'Profit &amp; Loss with Budget'!$O$14</definedName>
    <definedName name="QB_FORMULA_20" localSheetId="0" hidden="1">'Profit &amp; Loss with Budget'!$N$71,'Profit &amp; Loss with Budget'!$O$71,'Profit &amp; Loss with Budget'!$P$71,'Profit &amp; Loss with Budget'!$F$72,'Profit &amp; Loss with Budget'!$G$72,'Profit &amp; Loss with Budget'!$H$72,'Profit &amp; Loss with Budget'!$J$72,'Profit &amp; Loss with Budget'!$K$72,'Profit &amp; Loss with Budget'!$L$72,'Profit &amp; Loss with Budget'!$N$72,'Profit &amp; Loss with Budget'!$O$72,'Profit &amp; Loss with Budget'!$P$72,'Profit &amp; Loss with Budget'!$L$73,'Profit &amp; Loss with Budget'!$N$73,'Profit &amp; Loss with Budget'!$O$73,'Profit &amp; Loss with Budget'!$P$73</definedName>
    <definedName name="QB_FORMULA_21" localSheetId="0" hidden="1">'Profit &amp; Loss with Budget'!$F$74,'Profit &amp; Loss with Budget'!$G$74,'Profit &amp; Loss with Budget'!$H$74,'Profit &amp; Loss with Budget'!$J$74,'Profit &amp; Loss with Budget'!$K$74,'Profit &amp; Loss with Budget'!$L$74,'Profit &amp; Loss with Budget'!$N$74,'Profit &amp; Loss with Budget'!$O$74,'Profit &amp; Loss with Budget'!$P$74,'Profit &amp; Loss with Budget'!$H$77,'Profit &amp; Loss with Budget'!$L$77,'Profit &amp; Loss with Budget'!$N$77,'Profit &amp; Loss with Budget'!$O$77,'Profit &amp; Loss with Budget'!$P$77,'Profit &amp; Loss with Budget'!$H$78,'Profit &amp; Loss with Budget'!$L$78</definedName>
    <definedName name="QB_FORMULA_22" localSheetId="0" hidden="1">'Profit &amp; Loss with Budget'!$N$78,'Profit &amp; Loss with Budget'!$O$78,'Profit &amp; Loss with Budget'!$P$78,'Profit &amp; Loss with Budget'!$L$79,'Profit &amp; Loss with Budget'!$N$79,'Profit &amp; Loss with Budget'!$O$79,'Profit &amp; Loss with Budget'!$P$79,'Profit &amp; Loss with Budget'!$F$80,'Profit &amp; Loss with Budget'!$G$80,'Profit &amp; Loss with Budget'!$H$80,'Profit &amp; Loss with Budget'!$J$80,'Profit &amp; Loss with Budget'!$K$80,'Profit &amp; Loss with Budget'!$L$80,'Profit &amp; Loss with Budget'!$N$80,'Profit &amp; Loss with Budget'!$O$80,'Profit &amp; Loss with Budget'!$P$80</definedName>
    <definedName name="QB_FORMULA_23" localSheetId="0" hidden="1">'Profit &amp; Loss with Budget'!$H$81,'Profit &amp; Loss with Budget'!$L$81,'Profit &amp; Loss with Budget'!$N$81,'Profit &amp; Loss with Budget'!$O$81,'Profit &amp; Loss with Budget'!$P$81,'Profit &amp; Loss with Budget'!$H$82,'Profit &amp; Loss with Budget'!$L$82,'Profit &amp; Loss with Budget'!$N$82,'Profit &amp; Loss with Budget'!$O$82,'Profit &amp; Loss with Budget'!$P$82,'Profit &amp; Loss with Budget'!$H$83,'Profit &amp; Loss with Budget'!$L$83,'Profit &amp; Loss with Budget'!$N$83,'Profit &amp; Loss with Budget'!$O$83,'Profit &amp; Loss with Budget'!$P$83,'Profit &amp; Loss with Budget'!$H$85</definedName>
    <definedName name="QB_FORMULA_24" localSheetId="0" hidden="1">'Profit &amp; Loss with Budget'!$L$85,'Profit &amp; Loss with Budget'!$N$85,'Profit &amp; Loss with Budget'!$O$85,'Profit &amp; Loss with Budget'!$P$85,'Profit &amp; Loss with Budget'!$H$86,'Profit &amp; Loss with Budget'!$L$86,'Profit &amp; Loss with Budget'!$N$86,'Profit &amp; Loss with Budget'!$O$86,'Profit &amp; Loss with Budget'!$P$86,'Profit &amp; Loss with Budget'!$L$87,'Profit &amp; Loss with Budget'!$N$87,'Profit &amp; Loss with Budget'!$O$87,'Profit &amp; Loss with Budget'!$P$87,'Profit &amp; Loss with Budget'!$F$88,'Profit &amp; Loss with Budget'!$G$88,'Profit &amp; Loss with Budget'!$H$88</definedName>
    <definedName name="QB_FORMULA_25" localSheetId="0" hidden="1">'Profit &amp; Loss with Budget'!$J$88,'Profit &amp; Loss with Budget'!$K$88,'Profit &amp; Loss with Budget'!$L$88,'Profit &amp; Loss with Budget'!$N$88,'Profit &amp; Loss with Budget'!$O$88,'Profit &amp; Loss with Budget'!$P$88,'Profit &amp; Loss with Budget'!$H$90,'Profit &amp; Loss with Budget'!$L$90,'Profit &amp; Loss with Budget'!$N$90,'Profit &amp; Loss with Budget'!$O$90,'Profit &amp; Loss with Budget'!$P$90,'Profit &amp; Loss with Budget'!$H$91,'Profit &amp; Loss with Budget'!$L$91,'Profit &amp; Loss with Budget'!$N$91,'Profit &amp; Loss with Budget'!$O$91,'Profit &amp; Loss with Budget'!$P$91</definedName>
    <definedName name="QB_FORMULA_26" localSheetId="0" hidden="1">'Profit &amp; Loss with Budget'!$H$92,'Profit &amp; Loss with Budget'!$L$92,'Profit &amp; Loss with Budget'!$N$92,'Profit &amp; Loss with Budget'!$O$92,'Profit &amp; Loss with Budget'!$P$92,'Profit &amp; Loss with Budget'!$L$93,'Profit &amp; Loss with Budget'!$N$93,'Profit &amp; Loss with Budget'!$O$93,'Profit &amp; Loss with Budget'!$P$93,'Profit &amp; Loss with Budget'!$F$94,'Profit &amp; Loss with Budget'!$G$94,'Profit &amp; Loss with Budget'!$H$94,'Profit &amp; Loss with Budget'!$J$94,'Profit &amp; Loss with Budget'!$K$94,'Profit &amp; Loss with Budget'!$L$94,'Profit &amp; Loss with Budget'!$N$94</definedName>
    <definedName name="QB_FORMULA_27" localSheetId="0" hidden="1">'Profit &amp; Loss with Budget'!$O$94,'Profit &amp; Loss with Budget'!$P$94,'Profit &amp; Loss with Budget'!#REF!,'Profit &amp; Loss with Budget'!#REF!,'Profit &amp; Loss with Budget'!#REF!,'Profit &amp; Loss with Budget'!#REF!,'Profit &amp; Loss with Budget'!#REF!,'Profit &amp; Loss with Budget'!$H$96,'Profit &amp; Loss with Budget'!$L$96,'Profit &amp; Loss with Budget'!$N$96,'Profit &amp; Loss with Budget'!$O$96,'Profit &amp; Loss with Budget'!$P$96,'Profit &amp; Loss with Budget'!$H$97,'Profit &amp; Loss with Budget'!$L$97,'Profit &amp; Loss with Budget'!$N$97,'Profit &amp; Loss with Budget'!$O$97</definedName>
    <definedName name="QB_FORMULA_28" localSheetId="0" hidden="1">'Profit &amp; Loss with Budget'!$P$97,'Profit &amp; Loss with Budget'!$L$98,'Profit &amp; Loss with Budget'!$N$98,'Profit &amp; Loss with Budget'!$O$98,'Profit &amp; Loss with Budget'!$P$98,'Profit &amp; Loss with Budget'!$F$99,'Profit &amp; Loss with Budget'!$G$99,'Profit &amp; Loss with Budget'!$H$99,'Profit &amp; Loss with Budget'!$J$99,'Profit &amp; Loss with Budget'!$K$99,'Profit &amp; Loss with Budget'!$L$99,'Profit &amp; Loss with Budget'!$N$99,'Profit &amp; Loss with Budget'!$O$99,'Profit &amp; Loss with Budget'!$P$99,'Profit &amp; Loss with Budget'!$L$100,'Profit &amp; Loss with Budget'!$N$100</definedName>
    <definedName name="QB_FORMULA_29" localSheetId="0" hidden="1">'Profit &amp; Loss with Budget'!$O$100,'Profit &amp; Loss with Budget'!$P$100,'Profit &amp; Loss with Budget'!$F$101,'Profit &amp; Loss with Budget'!$G$101,'Profit &amp; Loss with Budget'!$H$101,'Profit &amp; Loss with Budget'!$J$101,'Profit &amp; Loss with Budget'!$K$101,'Profit &amp; Loss with Budget'!$L$101,'Profit &amp; Loss with Budget'!$N$101,'Profit &amp; Loss with Budget'!$O$101,'Profit &amp; Loss with Budget'!$P$101,'Profit &amp; Loss with Budget'!$H$103,'Profit &amp; Loss with Budget'!$L$103,'Profit &amp; Loss with Budget'!$N$103,'Profit &amp; Loss with Budget'!$O$103,'Profit &amp; Loss with Budget'!$P$103</definedName>
    <definedName name="QB_FORMULA_3" localSheetId="0" hidden="1">'Profit &amp; Loss with Budget'!$P$14,'Profit &amp; Loss with Budget'!$H$15,'Profit &amp; Loss with Budget'!$L$15,'Profit &amp; Loss with Budget'!$N$15,'Profit &amp; Loss with Budget'!$O$15,'Profit &amp; Loss with Budget'!$P$15,'Profit &amp; Loss with Budget'!$L$16,'Profit &amp; Loss with Budget'!$N$16,'Profit &amp; Loss with Budget'!$O$16,'Profit &amp; Loss with Budget'!$P$16,'Profit &amp; Loss with Budget'!$H$17,'Profit &amp; Loss with Budget'!$L$17,'Profit &amp; Loss with Budget'!$N$17,'Profit &amp; Loss with Budget'!$O$17,'Profit &amp; Loss with Budget'!$P$17,'Profit &amp; Loss with Budget'!$L$18</definedName>
    <definedName name="QB_FORMULA_30" localSheetId="0" hidden="1">'Profit &amp; Loss with Budget'!$H$104,'Profit &amp; Loss with Budget'!$L$104,'Profit &amp; Loss with Budget'!$N$104,'Profit &amp; Loss with Budget'!$O$104,'Profit &amp; Loss with Budget'!$P$104,'Profit &amp; Loss with Budget'!$L$105,'Profit &amp; Loss with Budget'!$N$105,'Profit &amp; Loss with Budget'!$O$105,'Profit &amp; Loss with Budget'!$P$105,'Profit &amp; Loss with Budget'!$F$106,'Profit &amp; Loss with Budget'!$G$106,'Profit &amp; Loss with Budget'!$H$106,'Profit &amp; Loss with Budget'!$J$106,'Profit &amp; Loss with Budget'!$K$106,'Profit &amp; Loss with Budget'!$L$106,'Profit &amp; Loss with Budget'!$N$106</definedName>
    <definedName name="QB_FORMULA_31" localSheetId="0" hidden="1">'Profit &amp; Loss with Budget'!$O$106,'Profit &amp; Loss with Budget'!$P$106,'Profit &amp; Loss with Budget'!#REF!,'Profit &amp; Loss with Budget'!#REF!,'Profit &amp; Loss with Budget'!#REF!,'Profit &amp; Loss with Budget'!#REF!,'Profit &amp; Loss with Budget'!$H$108,'Profit &amp; Loss with Budget'!$L$108,'Profit &amp; Loss with Budget'!$N$108,'Profit &amp; Loss with Budget'!$O$108,'Profit &amp; Loss with Budget'!$P$108,'Profit &amp; Loss with Budget'!$H$109,'Profit &amp; Loss with Budget'!$L$109,'Profit &amp; Loss with Budget'!$N$109,'Profit &amp; Loss with Budget'!$O$109,'Profit &amp; Loss with Budget'!$P$109</definedName>
    <definedName name="QB_FORMULA_32" localSheetId="0" hidden="1">'Profit &amp; Loss with Budget'!$H$110,'Profit &amp; Loss with Budget'!$L$110,'Profit &amp; Loss with Budget'!$N$110,'Profit &amp; Loss with Budget'!$O$110,'Profit &amp; Loss with Budget'!$P$110,'Profit &amp; Loss with Budget'!#REF!,'Profit &amp; Loss with Budget'!#REF!,'Profit &amp; Loss with Budget'!#REF!,'Profit &amp; Loss with Budget'!#REF!,'Profit &amp; Loss with Budget'!$H$111,'Profit &amp; Loss with Budget'!$L$111,'Profit &amp; Loss with Budget'!$N$111,'Profit &amp; Loss with Budget'!$O$111,'Profit &amp; Loss with Budget'!$P$111,'Profit &amp; Loss with Budget'!$L$112,'Profit &amp; Loss with Budget'!$N$112</definedName>
    <definedName name="QB_FORMULA_33" localSheetId="0" hidden="1">'Profit &amp; Loss with Budget'!$O$112,'Profit &amp; Loss with Budget'!$P$112,'Profit &amp; Loss with Budget'!$F$113,'Profit &amp; Loss with Budget'!$G$113,'Profit &amp; Loss with Budget'!$H$113,'Profit &amp; Loss with Budget'!$J$113,'Profit &amp; Loss with Budget'!$K$113,'Profit &amp; Loss with Budget'!$L$113,'Profit &amp; Loss with Budget'!$N$113,'Profit &amp; Loss with Budget'!$O$113,'Profit &amp; Loss with Budget'!$P$113,'Profit &amp; Loss with Budget'!$H$115,'Profit &amp; Loss with Budget'!$L$115,'Profit &amp; Loss with Budget'!$N$115,'Profit &amp; Loss with Budget'!$O$115,'Profit &amp; Loss with Budget'!$P$115</definedName>
    <definedName name="QB_FORMULA_34" localSheetId="0" hidden="1">'Profit &amp; Loss with Budget'!$H$116,'Profit &amp; Loss with Budget'!$L$116,'Profit &amp; Loss with Budget'!$N$116,'Profit &amp; Loss with Budget'!$O$116,'Profit &amp; Loss with Budget'!$P$116,'Profit &amp; Loss with Budget'!$H$117,'Profit &amp; Loss with Budget'!$L$117,'Profit &amp; Loss with Budget'!$N$117,'Profit &amp; Loss with Budget'!$O$117,'Profit &amp; Loss with Budget'!$P$117,'Profit &amp; Loss with Budget'!$H$118,'Profit &amp; Loss with Budget'!$L$118,'Profit &amp; Loss with Budget'!$N$118,'Profit &amp; Loss with Budget'!$O$118,'Profit &amp; Loss with Budget'!$P$118,'Profit &amp; Loss with Budget'!$H$119</definedName>
    <definedName name="QB_FORMULA_35" localSheetId="0" hidden="1">'Profit &amp; Loss with Budget'!$L$119,'Profit &amp; Loss with Budget'!$N$119,'Profit &amp; Loss with Budget'!$O$119,'Profit &amp; Loss with Budget'!$P$119,'Profit &amp; Loss with Budget'!$H$120,'Profit &amp; Loss with Budget'!$L$120,'Profit &amp; Loss with Budget'!$N$120,'Profit &amp; Loss with Budget'!$O$120,'Profit &amp; Loss with Budget'!$P$120,'Profit &amp; Loss with Budget'!$H$121,'Profit &amp; Loss with Budget'!$L$121,'Profit &amp; Loss with Budget'!$N$121,'Profit &amp; Loss with Budget'!$O$121,'Profit &amp; Loss with Budget'!$P$121,'Profit &amp; Loss with Budget'!$H$122,'Profit &amp; Loss with Budget'!$L$122</definedName>
    <definedName name="QB_FORMULA_36" localSheetId="0" hidden="1">'Profit &amp; Loss with Budget'!$N$122,'Profit &amp; Loss with Budget'!$O$122,'Profit &amp; Loss with Budget'!$P$122,'Profit &amp; Loss with Budget'!$H$123,'Profit &amp; Loss with Budget'!$L$123,'Profit &amp; Loss with Budget'!$N$123,'Profit &amp; Loss with Budget'!$O$123,'Profit &amp; Loss with Budget'!$P$123,'Profit &amp; Loss with Budget'!$H$124,'Profit &amp; Loss with Budget'!$L$124,'Profit &amp; Loss with Budget'!$N$124,'Profit &amp; Loss with Budget'!$O$124,'Profit &amp; Loss with Budget'!$P$124,'Profit &amp; Loss with Budget'!$L$125,'Profit &amp; Loss with Budget'!$N$125,'Profit &amp; Loss with Budget'!$O$125</definedName>
    <definedName name="QB_FORMULA_37" localSheetId="0" hidden="1">'Profit &amp; Loss with Budget'!$P$125,'Profit &amp; Loss with Budget'!$F$126,'Profit &amp; Loss with Budget'!$G$126,'Profit &amp; Loss with Budget'!$H$126,'Profit &amp; Loss with Budget'!$J$126,'Profit &amp; Loss with Budget'!$K$126,'Profit &amp; Loss with Budget'!$L$126,'Profit &amp; Loss with Budget'!$N$126,'Profit &amp; Loss with Budget'!$O$126,'Profit &amp; Loss with Budget'!$P$126,'Profit &amp; Loss with Budget'!$H$128,'Profit &amp; Loss with Budget'!$L$128,'Profit &amp; Loss with Budget'!$N$128,'Profit &amp; Loss with Budget'!$O$128,'Profit &amp; Loss with Budget'!$P$128,'Profit &amp; Loss with Budget'!$H$129</definedName>
    <definedName name="QB_FORMULA_38" localSheetId="0" hidden="1">'Profit &amp; Loss with Budget'!$L$129,'Profit &amp; Loss with Budget'!$N$129,'Profit &amp; Loss with Budget'!$O$129,'Profit &amp; Loss with Budget'!$P$129,'Profit &amp; Loss with Budget'!$F$130,'Profit &amp; Loss with Budget'!$G$130,'Profit &amp; Loss with Budget'!$H$130,'Profit &amp; Loss with Budget'!$J$130,'Profit &amp; Loss with Budget'!$K$130,'Profit &amp; Loss with Budget'!$L$130,'Profit &amp; Loss with Budget'!$N$130,'Profit &amp; Loss with Budget'!$O$130,'Profit &amp; Loss with Budget'!$P$130,'Profit &amp; Loss with Budget'!$L$131,'Profit &amp; Loss with Budget'!$N$131,'Profit &amp; Loss with Budget'!$O$131</definedName>
    <definedName name="QB_FORMULA_39" localSheetId="0" hidden="1">'Profit &amp; Loss with Budget'!$P$131,'Profit &amp; Loss with Budget'!$F$132,'Profit &amp; Loss with Budget'!$G$132,'Profit &amp; Loss with Budget'!$H$132,'Profit &amp; Loss with Budget'!$J$132,'Profit &amp; Loss with Budget'!$K$132,'Profit &amp; Loss with Budget'!$L$132,'Profit &amp; Loss with Budget'!$N$132,'Profit &amp; Loss with Budget'!$O$132,'Profit &amp; Loss with Budget'!$P$132,'Profit &amp; Loss with Budget'!$F$133,'Profit &amp; Loss with Budget'!$G$133,'Profit &amp; Loss with Budget'!$H$133,'Profit &amp; Loss with Budget'!$J$133,'Profit &amp; Loss with Budget'!$K$133,'Profit &amp; Loss with Budget'!$L$133</definedName>
    <definedName name="QB_FORMULA_4" localSheetId="0" hidden="1">'Profit &amp; Loss with Budget'!$N$18,'Profit &amp; Loss with Budget'!$O$18,'Profit &amp; Loss with Budget'!$P$18,'Profit &amp; Loss with Budget'!$F$19,'Profit &amp; Loss with Budget'!$G$19,'Profit &amp; Loss with Budget'!$H$19,'Profit &amp; Loss with Budget'!$J$19,'Profit &amp; Loss with Budget'!$K$19,'Profit &amp; Loss with Budget'!$L$19,'Profit &amp; Loss with Budget'!$N$19,'Profit &amp; Loss with Budget'!$O$19,'Profit &amp; Loss with Budget'!$P$19,'Profit &amp; Loss with Budget'!#REF!,'Profit &amp; Loss with Budget'!#REF!,'Profit &amp; Loss with Budget'!#REF!,'Profit &amp; Loss with Budget'!#REF!</definedName>
    <definedName name="QB_FORMULA_40" localSheetId="0" hidden="1">'Profit &amp; Loss with Budget'!$N$133,'Profit &amp; Loss with Budget'!$O$133,'Profit &amp; Loss with Budget'!$P$133</definedName>
    <definedName name="QB_FORMULA_5" localSheetId="0" hidden="1">'Profit &amp; Loss with Budget'!$H$20,'Profit &amp; Loss with Budget'!$L$20,'Profit &amp; Loss with Budget'!$N$20,'Profit &amp; Loss with Budget'!$O$20,'Profit &amp; Loss with Budget'!$P$20,'Profit &amp; Loss with Budget'!$F$21,'Profit &amp; Loss with Budget'!$G$21,'Profit &amp; Loss with Budget'!$H$21,'Profit &amp; Loss with Budget'!$J$21,'Profit &amp; Loss with Budget'!$K$21,'Profit &amp; Loss with Budget'!$L$21,'Profit &amp; Loss with Budget'!$N$21,'Profit &amp; Loss with Budget'!$O$21,'Profit &amp; Loss with Budget'!$P$21,'Profit &amp; Loss with Budget'!$H$24,'Profit &amp; Loss with Budget'!$L$24</definedName>
    <definedName name="QB_FORMULA_6" localSheetId="0" hidden="1">'Profit &amp; Loss with Budget'!$N$24,'Profit &amp; Loss with Budget'!$O$24,'Profit &amp; Loss with Budget'!$P$24,'Profit &amp; Loss with Budget'!#REF!,'Profit &amp; Loss with Budget'!#REF!,'Profit &amp; Loss with Budget'!#REF!,'Profit &amp; Loss with Budget'!#REF!,'Profit &amp; Loss with Budget'!$H$25,'Profit &amp; Loss with Budget'!$L$25,'Profit &amp; Loss with Budget'!$N$25,'Profit &amp; Loss with Budget'!$O$25,'Profit &amp; Loss with Budget'!$P$25,'Profit &amp; Loss with Budget'!$H$26,'Profit &amp; Loss with Budget'!$L$26,'Profit &amp; Loss with Budget'!$N$26,'Profit &amp; Loss with Budget'!$O$26</definedName>
    <definedName name="QB_FORMULA_7" localSheetId="0" hidden="1">'Profit &amp; Loss with Budget'!$P$26,'Profit &amp; Loss with Budget'!$H$27,'Profit &amp; Loss with Budget'!$L$27,'Profit &amp; Loss with Budget'!$N$27,'Profit &amp; Loss with Budget'!$O$27,'Profit &amp; Loss with Budget'!$P$27,'Profit &amp; Loss with Budget'!$H$28,'Profit &amp; Loss with Budget'!$L$28,'Profit &amp; Loss with Budget'!$N$28,'Profit &amp; Loss with Budget'!$O$28,'Profit &amp; Loss with Budget'!$P$28,'Profit &amp; Loss with Budget'!$H$29,'Profit &amp; Loss with Budget'!$L$29,'Profit &amp; Loss with Budget'!$N$29,'Profit &amp; Loss with Budget'!$O$29,'Profit &amp; Loss with Budget'!$P$29</definedName>
    <definedName name="QB_FORMULA_8" localSheetId="0" hidden="1">'Profit &amp; Loss with Budget'!$H$30,'Profit &amp; Loss with Budget'!$L$30,'Profit &amp; Loss with Budget'!$N$30,'Profit &amp; Loss with Budget'!$O$30,'Profit &amp; Loss with Budget'!$P$30,'Profit &amp; Loss with Budget'!$H$31,'Profit &amp; Loss with Budget'!$L$31,'Profit &amp; Loss with Budget'!$N$31,'Profit &amp; Loss with Budget'!$O$31,'Profit &amp; Loss with Budget'!$P$31,'Profit &amp; Loss with Budget'!$H$32,'Profit &amp; Loss with Budget'!$L$32,'Profit &amp; Loss with Budget'!$N$32,'Profit &amp; Loss with Budget'!$O$32,'Profit &amp; Loss with Budget'!$P$32,'Profit &amp; Loss with Budget'!$L$33</definedName>
    <definedName name="QB_FORMULA_9" localSheetId="0" hidden="1">'Profit &amp; Loss with Budget'!$N$33,'Profit &amp; Loss with Budget'!$O$33,'Profit &amp; Loss with Budget'!$P$33,'Profit &amp; Loss with Budget'!$F$34,'Profit &amp; Loss with Budget'!$G$34,'Profit &amp; Loss with Budget'!$H$34,'Profit &amp; Loss with Budget'!$J$34,'Profit &amp; Loss with Budget'!$K$34,'Profit &amp; Loss with Budget'!$L$34,'Profit &amp; Loss with Budget'!$N$34,'Profit &amp; Loss with Budget'!$O$34,'Profit &amp; Loss with Budget'!$P$34,'Profit &amp; Loss with Budget'!$H$36,'Profit &amp; Loss with Budget'!$L$36,'Profit &amp; Loss with Budget'!$N$36,'Profit &amp; Loss with Budget'!$O$36</definedName>
    <definedName name="QB_ROW_101230" localSheetId="0" hidden="1">'Profit &amp; Loss with Budget'!$C$14</definedName>
    <definedName name="QB_ROW_102220" localSheetId="0" hidden="1">'Profit &amp; Loss with Budget'!#REF!</definedName>
    <definedName name="QB_ROW_103250" localSheetId="0" hidden="1">'Profit &amp; Loss with Budget'!$E$70</definedName>
    <definedName name="QB_ROW_104250" localSheetId="0" hidden="1">'Profit &amp; Loss with Budget'!$E$69</definedName>
    <definedName name="QB_ROW_105240" localSheetId="0" hidden="1">'Profit &amp; Loss with Budget'!$D$66</definedName>
    <definedName name="QB_ROW_106230" localSheetId="0" hidden="1">'Profit &amp; Loss with Budget'!$C$118</definedName>
    <definedName name="QB_ROW_121220" localSheetId="0" hidden="1">'Profit &amp; Loss with Budget'!$B$20</definedName>
    <definedName name="QB_ROW_12220" localSheetId="0" hidden="1">'Profit &amp; Loss with Budget'!$B$11</definedName>
    <definedName name="QB_ROW_122230" localSheetId="0" hidden="1">'Profit &amp; Loss with Budget'!$C$7</definedName>
    <definedName name="QB_ROW_123020" localSheetId="0" hidden="1">'Profit &amp; Loss with Budget'!$B$102</definedName>
    <definedName name="QB_ROW_123230" localSheetId="0" hidden="1">'Profit &amp; Loss with Budget'!$C$105</definedName>
    <definedName name="QB_ROW_123320" localSheetId="0" hidden="1">'Profit &amp; Loss with Budget'!$B$106</definedName>
    <definedName name="QB_ROW_124230" localSheetId="0" hidden="1">'Profit &amp; Loss with Budget'!$C$104</definedName>
    <definedName name="QB_ROW_127230" localSheetId="0" hidden="1">'Profit &amp; Loss with Budget'!$C$117</definedName>
    <definedName name="QB_ROW_128230" localSheetId="0" hidden="1">'Profit &amp; Loss with Budget'!$C$116</definedName>
    <definedName name="QB_ROW_131230" localSheetId="0" hidden="1">'Profit &amp; Loss with Budget'!$C$15</definedName>
    <definedName name="QB_ROW_13220" localSheetId="0" hidden="1">'Profit &amp; Loss with Budget'!$B$10</definedName>
    <definedName name="QB_ROW_132230" localSheetId="0" hidden="1">'Profit &amp; Loss with Budget'!$C$36</definedName>
    <definedName name="QB_ROW_133230" localSheetId="0" hidden="1">'Profit &amp; Loss with Budget'!$C$122</definedName>
    <definedName name="QB_ROW_134230" localSheetId="0" hidden="1">'Profit &amp; Loss with Budget'!$C$54</definedName>
    <definedName name="QB_ROW_136230" localSheetId="0" hidden="1">'Profit &amp; Loss with Budget'!$C$103</definedName>
    <definedName name="QB_ROW_137230" localSheetId="0" hidden="1">'Profit &amp; Loss with Budget'!$C$128</definedName>
    <definedName name="QB_ROW_14020" localSheetId="0" hidden="1">'Profit &amp; Loss with Budget'!$B$6</definedName>
    <definedName name="QB_ROW_14230" localSheetId="0" hidden="1">'Profit &amp; Loss with Budget'!$C$8</definedName>
    <definedName name="QB_ROW_14320" localSheetId="0" hidden="1">'Profit &amp; Loss with Budget'!$B$9</definedName>
    <definedName name="QB_ROW_15220" localSheetId="0" hidden="1">'Profit &amp; Loss with Budget'!$B$4</definedName>
    <definedName name="QB_ROW_17020" localSheetId="0" hidden="1">'Profit &amp; Loss with Budget'!$B$23</definedName>
    <definedName name="QB_ROW_17230" localSheetId="0" hidden="1">'Profit &amp; Loss with Budget'!$C$33</definedName>
    <definedName name="QB_ROW_17320" localSheetId="0" hidden="1">'Profit &amp; Loss with Budget'!$B$34</definedName>
    <definedName name="QB_ROW_18230" localSheetId="0" hidden="1">'Profit &amp; Loss with Budget'!$C$28</definedName>
    <definedName name="QB_ROW_18301" localSheetId="0" hidden="1">'Profit &amp; Loss with Budget'!$A$133</definedName>
    <definedName name="QB_ROW_19230" localSheetId="0" hidden="1">'Profit &amp; Loss with Budget'!$C$30</definedName>
    <definedName name="QB_ROW_20012" localSheetId="0" hidden="1">'Profit &amp; Loss with Budget'!$A$3</definedName>
    <definedName name="QB_ROW_20230" localSheetId="0" hidden="1">'Profit &amp; Loss with Budget'!$C$32</definedName>
    <definedName name="QB_ROW_20312" localSheetId="0" hidden="1">'Profit &amp; Loss with Budget'!$A$21</definedName>
    <definedName name="QB_ROW_21012" localSheetId="0" hidden="1">'Profit &amp; Loss with Budget'!$A$22</definedName>
    <definedName name="QB_ROW_21230" localSheetId="0" hidden="1">'Profit &amp; Loss with Budget'!$C$25</definedName>
    <definedName name="QB_ROW_21312" localSheetId="0" hidden="1">'Profit &amp; Loss with Budget'!$A$132</definedName>
    <definedName name="QB_ROW_22230" localSheetId="0" hidden="1">'Profit &amp; Loss with Budget'!$C$24</definedName>
    <definedName name="QB_ROW_23230" localSheetId="0" hidden="1">'Profit &amp; Loss with Budget'!#REF!</definedName>
    <definedName name="QB_ROW_24230" localSheetId="0" hidden="1">'Profit &amp; Loss with Budget'!$C$29</definedName>
    <definedName name="QB_ROW_25230" localSheetId="0" hidden="1">'Profit &amp; Loss with Budget'!$C$26</definedName>
    <definedName name="QB_ROW_26230" localSheetId="0" hidden="1">'Profit &amp; Loss with Budget'!$C$27</definedName>
    <definedName name="QB_ROW_27020" localSheetId="0" hidden="1">'Profit &amp; Loss with Budget'!$B$35</definedName>
    <definedName name="QB_ROW_27230" localSheetId="0" hidden="1">'Profit &amp; Loss with Budget'!$C$37</definedName>
    <definedName name="QB_ROW_27320" localSheetId="0" hidden="1">'Profit &amp; Loss with Budget'!$B$38</definedName>
    <definedName name="QB_ROW_28020" localSheetId="0" hidden="1">'Profit &amp; Loss with Budget'!$B$58</definedName>
    <definedName name="QB_ROW_28230" localSheetId="0" hidden="1">'Profit &amp; Loss with Budget'!$C$100</definedName>
    <definedName name="QB_ROW_28320" localSheetId="0" hidden="1">'Profit &amp; Loss with Budget'!$B$101</definedName>
    <definedName name="QB_ROW_29230" localSheetId="0" hidden="1">'Profit &amp; Loss with Budget'!$C$81</definedName>
    <definedName name="QB_ROW_30230" localSheetId="0" hidden="1">'Profit &amp; Loss with Budget'!$C$83</definedName>
    <definedName name="QB_ROW_31240" localSheetId="0" hidden="1">'Profit &amp; Loss with Budget'!$D$78</definedName>
    <definedName name="QB_ROW_32240" localSheetId="0" hidden="1">'Profit &amp; Loss with Budget'!$D$77</definedName>
    <definedName name="QB_ROW_33240" localSheetId="0" hidden="1">'Profit &amp; Loss with Budget'!$D$85</definedName>
    <definedName name="QB_ROW_34240" localSheetId="0" hidden="1">'Profit &amp; Loss with Budget'!$D$86</definedName>
    <definedName name="QB_ROW_35230" localSheetId="0" hidden="1">'Profit &amp; Loss with Budget'!$C$60</definedName>
    <definedName name="QB_ROW_36230" localSheetId="0" hidden="1">'Profit &amp; Loss with Budget'!$C$59</definedName>
    <definedName name="QB_ROW_37230" localSheetId="0" hidden="1">'Profit &amp; Loss with Budget'!$C$82</definedName>
    <definedName name="QB_ROW_38030" localSheetId="0" hidden="1">'Profit &amp; Loss with Budget'!$C$95</definedName>
    <definedName name="QB_ROW_38240" localSheetId="0" hidden="1">'Profit &amp; Loss with Budget'!$D$98</definedName>
    <definedName name="QB_ROW_38330" localSheetId="0" hidden="1">'Profit &amp; Loss with Budget'!$C$99</definedName>
    <definedName name="QB_ROW_39240" localSheetId="0" hidden="1">'Profit &amp; Loss with Budget'!#REF!</definedName>
    <definedName name="QB_ROW_40240" localSheetId="0" hidden="1">'Profit &amp; Loss with Budget'!$D$97</definedName>
    <definedName name="QB_ROW_41240" localSheetId="0" hidden="1">'Profit &amp; Loss with Budget'!$D$96</definedName>
    <definedName name="QB_ROW_42030" localSheetId="0" hidden="1">'Profit &amp; Loss with Budget'!$C$61</definedName>
    <definedName name="QB_ROW_42240" localSheetId="0" hidden="1">'Profit &amp; Loss with Budget'!$D$73</definedName>
    <definedName name="QB_ROW_42330" localSheetId="0" hidden="1">'Profit &amp; Loss with Budget'!$C$74</definedName>
    <definedName name="QB_ROW_43240" localSheetId="0" hidden="1">'Profit &amp; Loss with Budget'!$D$67</definedName>
    <definedName name="QB_ROW_44040" localSheetId="0" hidden="1">'Profit &amp; Loss with Budget'!$D$62</definedName>
    <definedName name="QB_ROW_44250" localSheetId="0" hidden="1">'Profit &amp; Loss with Budget'!$E$64</definedName>
    <definedName name="QB_ROW_44340" localSheetId="0" hidden="1">'Profit &amp; Loss with Budget'!$D$65</definedName>
    <definedName name="QB_ROW_45030" localSheetId="0" hidden="1">'Profit &amp; Loss with Budget'!$C$89</definedName>
    <definedName name="QB_ROW_45240" localSheetId="0" hidden="1">'Profit &amp; Loss with Budget'!$D$93</definedName>
    <definedName name="QB_ROW_45330" localSheetId="0" hidden="1">'Profit &amp; Loss with Budget'!$C$94</definedName>
    <definedName name="QB_ROW_46240" localSheetId="0" hidden="1">'Profit &amp; Loss with Budget'!$D$92</definedName>
    <definedName name="QB_ROW_47240" localSheetId="0" hidden="1">'Profit &amp; Loss with Budget'!$D$91</definedName>
    <definedName name="QB_ROW_48240" localSheetId="0" hidden="1">'Profit &amp; Loss with Budget'!$D$90</definedName>
    <definedName name="QB_ROW_49020" localSheetId="0" hidden="1">'Profit &amp; Loss with Budget'!$B$127</definedName>
    <definedName name="QB_ROW_49230" localSheetId="0" hidden="1">'Profit &amp; Loss with Budget'!$C$129</definedName>
    <definedName name="QB_ROW_49320" localSheetId="0" hidden="1">'Profit &amp; Loss with Budget'!$B$130</definedName>
    <definedName name="QB_ROW_50020" localSheetId="0" hidden="1">'Profit &amp; Loss with Budget'!$B$114</definedName>
    <definedName name="QB_ROW_50230" localSheetId="0" hidden="1">'Profit &amp; Loss with Budget'!$C$125</definedName>
    <definedName name="QB_ROW_50320" localSheetId="0" hidden="1">'Profit &amp; Loss with Budget'!$B$126</definedName>
    <definedName name="QB_ROW_51230" localSheetId="0" hidden="1">'Profit &amp; Loss with Budget'!$C$123</definedName>
    <definedName name="QB_ROW_52230" localSheetId="0" hidden="1">'Profit &amp; Loss with Budget'!$C$120</definedName>
    <definedName name="QB_ROW_53230" localSheetId="0" hidden="1">'Profit &amp; Loss with Budget'!$C$124</definedName>
    <definedName name="QB_ROW_54230" localSheetId="0" hidden="1">'Profit &amp; Loss with Budget'!$C$119</definedName>
    <definedName name="QB_ROW_55230" localSheetId="0" hidden="1">'Profit &amp; Loss with Budget'!$C$121</definedName>
    <definedName name="QB_ROW_56230" localSheetId="0" hidden="1">'Profit &amp; Loss with Budget'!$C$115</definedName>
    <definedName name="QB_ROW_57020" localSheetId="0" hidden="1">'Profit &amp; Loss with Budget'!$B$12</definedName>
    <definedName name="QB_ROW_57230" localSheetId="0" hidden="1">'Profit &amp; Loss with Budget'!$C$18</definedName>
    <definedName name="QB_ROW_57320" localSheetId="0" hidden="1">'Profit &amp; Loss with Budget'!$B$19</definedName>
    <definedName name="QB_ROW_58230" localSheetId="0" hidden="1">'Profit &amp; Loss with Budget'!$C$17</definedName>
    <definedName name="QB_ROW_59020" localSheetId="0" hidden="1">'Profit &amp; Loss with Budget'!$B$39</definedName>
    <definedName name="QB_ROW_59230" localSheetId="0" hidden="1">'Profit &amp; Loss with Budget'!$C$56</definedName>
    <definedName name="QB_ROW_59320" localSheetId="0" hidden="1">'Profit &amp; Loss with Budget'!$B$57</definedName>
    <definedName name="QB_ROW_60230" localSheetId="0" hidden="1">'Profit &amp; Loss with Budget'!$C$53</definedName>
    <definedName name="QB_ROW_61240" localSheetId="0" hidden="1">'Profit &amp; Loss with Budget'!$D$50</definedName>
    <definedName name="QB_ROW_62240" localSheetId="0" hidden="1">'Profit &amp; Loss with Budget'!$D$48</definedName>
    <definedName name="QB_ROW_63240" localSheetId="0" hidden="1">'Profit &amp; Loss with Budget'!$D$49</definedName>
    <definedName name="QB_ROW_64230" localSheetId="0" hidden="1">'Profit &amp; Loss with Budget'!$C$55</definedName>
    <definedName name="QB_ROW_65240" localSheetId="0" hidden="1">'Profit &amp; Loss with Budget'!$D$47</definedName>
    <definedName name="QB_ROW_66230" localSheetId="0" hidden="1">'Profit &amp; Loss with Budget'!#REF!</definedName>
    <definedName name="QB_ROW_67240" localSheetId="0" hidden="1">'Profit &amp; Loss with Budget'!$D$43</definedName>
    <definedName name="QB_ROW_68240" localSheetId="0" hidden="1">'Profit &amp; Loss with Budget'!$D$41</definedName>
    <definedName name="QB_ROW_69240" localSheetId="0" hidden="1">'Profit &amp; Loss with Budget'!$D$42</definedName>
    <definedName name="QB_ROW_70020" localSheetId="0" hidden="1">'Profit &amp; Loss with Budget'!$B$107</definedName>
    <definedName name="QB_ROW_70230" localSheetId="0" hidden="1">'Profit &amp; Loss with Budget'!$C$112</definedName>
    <definedName name="QB_ROW_70320" localSheetId="0" hidden="1">'Profit &amp; Loss with Budget'!$B$113</definedName>
    <definedName name="QB_ROW_71230" localSheetId="0" hidden="1">'Profit &amp; Loss with Budget'!$C$110</definedName>
    <definedName name="QB_ROW_72230" localSheetId="0" hidden="1">'Profit &amp; Loss with Budget'!#REF!</definedName>
    <definedName name="QB_ROW_73230" localSheetId="0" hidden="1">'Profit &amp; Loss with Budget'!$C$109</definedName>
    <definedName name="QB_ROW_74230" localSheetId="0" hidden="1">'Profit &amp; Loss with Budget'!$C$111</definedName>
    <definedName name="QB_ROW_75230" localSheetId="0" hidden="1">'Profit &amp; Loss with Budget'!#REF!</definedName>
    <definedName name="QB_ROW_76230" localSheetId="0" hidden="1">'Profit &amp; Loss with Budget'!$C$108</definedName>
    <definedName name="QB_ROW_78230" localSheetId="0" hidden="1">'Profit &amp; Loss with Budget'!$C$16</definedName>
    <definedName name="QB_ROW_79030" localSheetId="0" hidden="1">'Profit &amp; Loss with Budget'!$C$76</definedName>
    <definedName name="QB_ROW_79240" localSheetId="0" hidden="1">'Profit &amp; Loss with Budget'!$D$79</definedName>
    <definedName name="QB_ROW_79330" localSheetId="0" hidden="1">'Profit &amp; Loss with Budget'!$C$80</definedName>
    <definedName name="QB_ROW_80030" localSheetId="0" hidden="1">'Profit &amp; Loss with Budget'!$C$84</definedName>
    <definedName name="QB_ROW_80240" localSheetId="0" hidden="1">'Profit &amp; Loss with Budget'!$D$87</definedName>
    <definedName name="QB_ROW_80330" localSheetId="0" hidden="1">'Profit &amp; Loss with Budget'!$C$88</definedName>
    <definedName name="QB_ROW_81230" localSheetId="0" hidden="1">'Profit &amp; Loss with Budget'!$C$13</definedName>
    <definedName name="QB_ROW_8220" localSheetId="0" hidden="1">'Profit &amp; Loss with Budget'!$B$131</definedName>
    <definedName name="QB_ROW_85030" localSheetId="0" hidden="1">'Profit &amp; Loss with Budget'!$C$40</definedName>
    <definedName name="QB_ROW_85240" localSheetId="0" hidden="1">'Profit &amp; Loss with Budget'!$D$44</definedName>
    <definedName name="QB_ROW_85330" localSheetId="0" hidden="1">'Profit &amp; Loss with Budget'!$C$45</definedName>
    <definedName name="QB_ROW_86030" localSheetId="0" hidden="1">'Profit &amp; Loss with Budget'!$C$46</definedName>
    <definedName name="QB_ROW_86240" localSheetId="0" hidden="1">'Profit &amp; Loss with Budget'!$D$51</definedName>
    <definedName name="QB_ROW_86330" localSheetId="0" hidden="1">'Profit &amp; Loss with Budget'!$C$52</definedName>
    <definedName name="QB_ROW_89250" localSheetId="0" hidden="1">'Profit &amp; Loss with Budget'!$E$63</definedName>
    <definedName name="QB_ROW_90040" localSheetId="0" hidden="1">'Profit &amp; Loss with Budget'!$D$68</definedName>
    <definedName name="QB_ROW_90250" localSheetId="0" hidden="1">'Profit &amp; Loss with Budget'!$E$71</definedName>
    <definedName name="QB_ROW_90340" localSheetId="0" hidden="1">'Profit &amp; Loss with Budget'!$D$72</definedName>
    <definedName name="QB_ROW_91220" localSheetId="0" hidden="1">'Profit &amp; Loss with Budget'!$B$5</definedName>
    <definedName name="QB_ROW_94230" localSheetId="0" hidden="1">'Profit &amp; Loss with Budget'!$C$31</definedName>
    <definedName name="QBCANSUPPORTUPDATE" localSheetId="0">TRUE</definedName>
    <definedName name="QBCOMPANYFILENAME" localSheetId="0">"C:\Users\admin\OneDrive\Documents\Finance\Quickbooks\ARMTA.2019.QBW"</definedName>
    <definedName name="QBENDDATE" localSheetId="0">20200204</definedName>
    <definedName name="QBHEADERSONSCREEN" localSheetId="0">FALSE</definedName>
    <definedName name="QBMETADATASIZE" localSheetId="0">5921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8</definedName>
    <definedName name="QBREPORTCOMPANYID" localSheetId="0">"25e502af6b6d42f78d0dd6d810b98bb7"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TRUE</definedName>
    <definedName name="QBREPORTCOMPARECOL_BUDGET" localSheetId="0">TRUE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11</definedName>
    <definedName name="QBREPORTSUBCOLAXIS" localSheetId="0">24</definedName>
    <definedName name="QBREPORTTYPE" localSheetId="0">288</definedName>
    <definedName name="QBROWHEADERS" localSheetId="0">6</definedName>
    <definedName name="QBSTARTDATE" localSheetId="0">20180401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52" i="1" l="1"/>
  <c r="L31" i="2" l="1"/>
  <c r="L21" i="2"/>
  <c r="Q66" i="1" l="1"/>
  <c r="N45" i="1"/>
  <c r="E37" i="3"/>
  <c r="E36" i="3"/>
  <c r="E30" i="3"/>
  <c r="E21" i="3"/>
  <c r="E16" i="3"/>
  <c r="E10" i="3"/>
  <c r="E14" i="3"/>
  <c r="Q24" i="1"/>
  <c r="Q34" i="1" s="1"/>
  <c r="Q19" i="1"/>
  <c r="Q11" i="1"/>
  <c r="E26" i="3"/>
  <c r="E25" i="3"/>
  <c r="E24" i="3"/>
  <c r="E23" i="3"/>
  <c r="E22" i="3"/>
  <c r="E20" i="3"/>
  <c r="E19" i="3"/>
  <c r="E9" i="3"/>
  <c r="E11" i="3"/>
  <c r="E12" i="3"/>
  <c r="E13" i="3"/>
  <c r="E15" i="3"/>
  <c r="E35" i="3"/>
  <c r="E34" i="3"/>
  <c r="E33" i="3"/>
  <c r="E32" i="3"/>
  <c r="E29" i="3"/>
  <c r="E38" i="3" s="1"/>
  <c r="E17" i="3" l="1"/>
  <c r="E27" i="3"/>
  <c r="E39" i="3" l="1"/>
  <c r="N11" i="1"/>
  <c r="N24" i="1"/>
  <c r="N10" i="1"/>
  <c r="N64" i="1"/>
  <c r="N37" i="1"/>
  <c r="J42" i="1" l="1"/>
  <c r="N60" i="1"/>
  <c r="N82" i="1"/>
  <c r="K31" i="2" l="1"/>
  <c r="Q21" i="1" l="1"/>
  <c r="Q130" i="1"/>
  <c r="N130" i="1"/>
  <c r="Q126" i="1"/>
  <c r="N126" i="1"/>
  <c r="Q113" i="1"/>
  <c r="N113" i="1"/>
  <c r="Q106" i="1"/>
  <c r="N106" i="1"/>
  <c r="Q99" i="1"/>
  <c r="N99" i="1"/>
  <c r="Q94" i="1"/>
  <c r="N94" i="1"/>
  <c r="Q80" i="1"/>
  <c r="N80" i="1"/>
  <c r="Q72" i="1"/>
  <c r="N72" i="1"/>
  <c r="Q65" i="1"/>
  <c r="N65" i="1"/>
  <c r="N74" i="1" s="1"/>
  <c r="Q57" i="1"/>
  <c r="N52" i="1"/>
  <c r="Q38" i="1"/>
  <c r="N19" i="1"/>
  <c r="N21" i="1" s="1"/>
  <c r="N38" i="1"/>
  <c r="N32" i="1"/>
  <c r="N34" i="1" s="1"/>
  <c r="L131" i="1"/>
  <c r="K130" i="1"/>
  <c r="J130" i="1"/>
  <c r="G130" i="1"/>
  <c r="F130" i="1"/>
  <c r="L129" i="1"/>
  <c r="H129" i="1"/>
  <c r="L128" i="1"/>
  <c r="H128" i="1"/>
  <c r="K126" i="1"/>
  <c r="J126" i="1"/>
  <c r="G126" i="1"/>
  <c r="F126" i="1"/>
  <c r="L125" i="1"/>
  <c r="L124" i="1"/>
  <c r="H124" i="1"/>
  <c r="L123" i="1"/>
  <c r="H123" i="1"/>
  <c r="L122" i="1"/>
  <c r="H122" i="1"/>
  <c r="L121" i="1"/>
  <c r="H121" i="1"/>
  <c r="L120" i="1"/>
  <c r="H120" i="1"/>
  <c r="L119" i="1"/>
  <c r="H119" i="1"/>
  <c r="L118" i="1"/>
  <c r="H118" i="1"/>
  <c r="L117" i="1"/>
  <c r="H117" i="1"/>
  <c r="L116" i="1"/>
  <c r="H116" i="1"/>
  <c r="L115" i="1"/>
  <c r="H115" i="1"/>
  <c r="K113" i="1"/>
  <c r="J113" i="1"/>
  <c r="G113" i="1"/>
  <c r="F113" i="1"/>
  <c r="L112" i="1"/>
  <c r="L111" i="1"/>
  <c r="H111" i="1"/>
  <c r="L110" i="1"/>
  <c r="H110" i="1"/>
  <c r="L109" i="1"/>
  <c r="H109" i="1"/>
  <c r="L108" i="1"/>
  <c r="H108" i="1"/>
  <c r="K106" i="1"/>
  <c r="J106" i="1"/>
  <c r="G106" i="1"/>
  <c r="F106" i="1"/>
  <c r="L105" i="1"/>
  <c r="L104" i="1"/>
  <c r="H104" i="1"/>
  <c r="L103" i="1"/>
  <c r="H103" i="1"/>
  <c r="L100" i="1"/>
  <c r="K99" i="1"/>
  <c r="J99" i="1"/>
  <c r="G99" i="1"/>
  <c r="F99" i="1"/>
  <c r="L98" i="1"/>
  <c r="L97" i="1"/>
  <c r="H97" i="1"/>
  <c r="L96" i="1"/>
  <c r="H96" i="1"/>
  <c r="K94" i="1"/>
  <c r="J94" i="1"/>
  <c r="G94" i="1"/>
  <c r="F94" i="1"/>
  <c r="L93" i="1"/>
  <c r="L92" i="1"/>
  <c r="H92" i="1"/>
  <c r="L91" i="1"/>
  <c r="H91" i="1"/>
  <c r="L90" i="1"/>
  <c r="H90" i="1"/>
  <c r="K88" i="1"/>
  <c r="J88" i="1"/>
  <c r="G88" i="1"/>
  <c r="F88" i="1"/>
  <c r="L87" i="1"/>
  <c r="L86" i="1"/>
  <c r="H86" i="1"/>
  <c r="L85" i="1"/>
  <c r="H85" i="1"/>
  <c r="L83" i="1"/>
  <c r="H83" i="1"/>
  <c r="L82" i="1"/>
  <c r="H82" i="1"/>
  <c r="L81" i="1"/>
  <c r="H81" i="1"/>
  <c r="K80" i="1"/>
  <c r="J80" i="1"/>
  <c r="G80" i="1"/>
  <c r="F80" i="1"/>
  <c r="L79" i="1"/>
  <c r="L78" i="1"/>
  <c r="H78" i="1"/>
  <c r="L77" i="1"/>
  <c r="H77" i="1"/>
  <c r="L73" i="1"/>
  <c r="K72" i="1"/>
  <c r="J72" i="1"/>
  <c r="G72" i="1"/>
  <c r="F72" i="1"/>
  <c r="L71" i="1"/>
  <c r="H71" i="1"/>
  <c r="L70" i="1"/>
  <c r="H70" i="1"/>
  <c r="L69" i="1"/>
  <c r="H69" i="1"/>
  <c r="L67" i="1"/>
  <c r="H67" i="1"/>
  <c r="L66" i="1"/>
  <c r="H66" i="1"/>
  <c r="K65" i="1"/>
  <c r="J65" i="1"/>
  <c r="G65" i="1"/>
  <c r="F65" i="1"/>
  <c r="L64" i="1"/>
  <c r="H64" i="1"/>
  <c r="L63" i="1"/>
  <c r="H63" i="1"/>
  <c r="L60" i="1"/>
  <c r="H60" i="1"/>
  <c r="L59" i="1"/>
  <c r="H59" i="1"/>
  <c r="L56" i="1"/>
  <c r="H56" i="1"/>
  <c r="L55" i="1"/>
  <c r="H55" i="1"/>
  <c r="L54" i="1"/>
  <c r="H54" i="1"/>
  <c r="L53" i="1"/>
  <c r="H53" i="1"/>
  <c r="K52" i="1"/>
  <c r="J52" i="1"/>
  <c r="G52" i="1"/>
  <c r="F52" i="1"/>
  <c r="L51" i="1"/>
  <c r="L50" i="1"/>
  <c r="H50" i="1"/>
  <c r="L49" i="1"/>
  <c r="H49" i="1"/>
  <c r="L48" i="1"/>
  <c r="H48" i="1"/>
  <c r="L47" i="1"/>
  <c r="H47" i="1"/>
  <c r="K45" i="1"/>
  <c r="J45" i="1"/>
  <c r="G45" i="1"/>
  <c r="F45" i="1"/>
  <c r="L44" i="1"/>
  <c r="L43" i="1"/>
  <c r="H43" i="1"/>
  <c r="L42" i="1"/>
  <c r="H42" i="1"/>
  <c r="L41" i="1"/>
  <c r="H41" i="1"/>
  <c r="K38" i="1"/>
  <c r="J38" i="1"/>
  <c r="G38" i="1"/>
  <c r="F38" i="1"/>
  <c r="L37" i="1"/>
  <c r="H37" i="1"/>
  <c r="L36" i="1"/>
  <c r="H36" i="1"/>
  <c r="K34" i="1"/>
  <c r="J34" i="1"/>
  <c r="G34" i="1"/>
  <c r="F34" i="1"/>
  <c r="L33" i="1"/>
  <c r="L32" i="1"/>
  <c r="H32" i="1"/>
  <c r="L31" i="1"/>
  <c r="H31" i="1"/>
  <c r="L30" i="1"/>
  <c r="H30" i="1"/>
  <c r="L29" i="1"/>
  <c r="H29" i="1"/>
  <c r="L28" i="1"/>
  <c r="H28" i="1"/>
  <c r="L27" i="1"/>
  <c r="H27" i="1"/>
  <c r="L26" i="1"/>
  <c r="H26" i="1"/>
  <c r="L25" i="1"/>
  <c r="H25" i="1"/>
  <c r="L24" i="1"/>
  <c r="H24" i="1"/>
  <c r="L20" i="1"/>
  <c r="H20" i="1"/>
  <c r="K19" i="1"/>
  <c r="J19" i="1"/>
  <c r="G19" i="1"/>
  <c r="F19" i="1"/>
  <c r="L18" i="1"/>
  <c r="L17" i="1"/>
  <c r="H17" i="1"/>
  <c r="L16" i="1"/>
  <c r="L15" i="1"/>
  <c r="H15" i="1"/>
  <c r="L14" i="1"/>
  <c r="H14" i="1"/>
  <c r="L13" i="1"/>
  <c r="H13" i="1"/>
  <c r="L11" i="1"/>
  <c r="H11" i="1"/>
  <c r="L10" i="1"/>
  <c r="H10" i="1"/>
  <c r="K9" i="1"/>
  <c r="J9" i="1"/>
  <c r="G9" i="1"/>
  <c r="F9" i="1"/>
  <c r="L8" i="1"/>
  <c r="H8" i="1"/>
  <c r="L7" i="1"/>
  <c r="H7" i="1"/>
  <c r="L5" i="1"/>
  <c r="H5" i="1"/>
  <c r="L4" i="1"/>
  <c r="H4" i="1"/>
  <c r="Q74" i="1" l="1"/>
  <c r="N101" i="1"/>
  <c r="N132" i="1" s="1"/>
  <c r="N57" i="1"/>
  <c r="J74" i="1"/>
  <c r="J101" i="1" s="1"/>
  <c r="L88" i="1"/>
  <c r="L52" i="1"/>
  <c r="J57" i="1"/>
  <c r="H106" i="1"/>
  <c r="G74" i="1"/>
  <c r="F21" i="1"/>
  <c r="K21" i="1"/>
  <c r="H19" i="1"/>
  <c r="F74" i="1"/>
  <c r="F101" i="1" s="1"/>
  <c r="H94" i="1"/>
  <c r="G57" i="1"/>
  <c r="L94" i="1"/>
  <c r="H34" i="1"/>
  <c r="L80" i="1"/>
  <c r="H45" i="1"/>
  <c r="L130" i="1"/>
  <c r="K57" i="1"/>
  <c r="H99" i="1"/>
  <c r="G21" i="1"/>
  <c r="L99" i="1"/>
  <c r="L9" i="1"/>
  <c r="L38" i="1"/>
  <c r="H80" i="1"/>
  <c r="L113" i="1"/>
  <c r="L126" i="1"/>
  <c r="K74" i="1"/>
  <c r="K101" i="1" s="1"/>
  <c r="H126" i="1"/>
  <c r="L34" i="1"/>
  <c r="H52" i="1"/>
  <c r="H88" i="1"/>
  <c r="L106" i="1"/>
  <c r="H130" i="1"/>
  <c r="H113" i="1"/>
  <c r="L19" i="1"/>
  <c r="H72" i="1"/>
  <c r="H38" i="1"/>
  <c r="L72" i="1"/>
  <c r="H65" i="1"/>
  <c r="L65" i="1"/>
  <c r="F57" i="1"/>
  <c r="H9" i="1"/>
  <c r="J21" i="1"/>
  <c r="L45" i="1"/>
  <c r="Q101" i="1" l="1"/>
  <c r="Q132" i="1" s="1"/>
  <c r="Q133" i="1" s="1"/>
  <c r="N133" i="1"/>
  <c r="L57" i="1"/>
  <c r="K132" i="1"/>
  <c r="K133" i="1" s="1"/>
  <c r="H74" i="1"/>
  <c r="G101" i="1"/>
  <c r="G132" i="1" s="1"/>
  <c r="G133" i="1" s="1"/>
  <c r="J132" i="1"/>
  <c r="J133" i="1" s="1"/>
  <c r="H21" i="1"/>
  <c r="L74" i="1"/>
  <c r="L101" i="1"/>
  <c r="L21" i="1"/>
  <c r="H57" i="1"/>
  <c r="F132" i="1"/>
  <c r="L132" i="1" l="1"/>
  <c r="H101" i="1"/>
  <c r="L133" i="1"/>
  <c r="H132" i="1"/>
  <c r="F133" i="1"/>
  <c r="H133" i="1" l="1"/>
</calcChain>
</file>

<file path=xl/sharedStrings.xml><?xml version="1.0" encoding="utf-8"?>
<sst xmlns="http://schemas.openxmlformats.org/spreadsheetml/2006/main" count="341" uniqueCount="265">
  <si>
    <t>Apr '18 - Mar 19</t>
  </si>
  <si>
    <t>Budget</t>
  </si>
  <si>
    <t>$ Over Budget</t>
  </si>
  <si>
    <t>1 Apr '19 - 4 Feb 20</t>
  </si>
  <si>
    <t>Income</t>
  </si>
  <si>
    <t>Advertising Income</t>
  </si>
  <si>
    <t>Conference Income</t>
  </si>
  <si>
    <t>Donations</t>
  </si>
  <si>
    <t>Donations of Gifts in Kind</t>
  </si>
  <si>
    <t>Donations - Other</t>
  </si>
  <si>
    <t>Interest Income</t>
  </si>
  <si>
    <t>Membership Income</t>
  </si>
  <si>
    <t>Projects Income</t>
  </si>
  <si>
    <t>CFMTA Student Composer Comp.</t>
  </si>
  <si>
    <t>Piano Competition</t>
  </si>
  <si>
    <t>String Competition</t>
  </si>
  <si>
    <t>Travelling Workshops Income</t>
  </si>
  <si>
    <t>Vocal Competition</t>
  </si>
  <si>
    <t>Projects Income - Other</t>
  </si>
  <si>
    <t>Total Projects Income</t>
  </si>
  <si>
    <t>Sponsorship Income</t>
  </si>
  <si>
    <t>Total Income</t>
  </si>
  <si>
    <t>Expense</t>
  </si>
  <si>
    <t>Administration</t>
  </si>
  <si>
    <t>Administrator Contract</t>
  </si>
  <si>
    <t>Bank &amp; Service Fees</t>
  </si>
  <si>
    <t>Computer Expenses</t>
  </si>
  <si>
    <t>Mileage</t>
  </si>
  <si>
    <t>Office Supplies</t>
  </si>
  <si>
    <t>Post Office Box</t>
  </si>
  <si>
    <t>Postage</t>
  </si>
  <si>
    <t>Rent</t>
  </si>
  <si>
    <t>Telephone and Fax</t>
  </si>
  <si>
    <t>Administration - Other</t>
  </si>
  <si>
    <t>Total Administration</t>
  </si>
  <si>
    <t>Advertising &amp; Publicity</t>
  </si>
  <si>
    <t>Social Media</t>
  </si>
  <si>
    <t>Advertising &amp; Publicity - Other</t>
  </si>
  <si>
    <t>Total Advertising &amp; Publicity</t>
  </si>
  <si>
    <t>Board Expenses</t>
  </si>
  <si>
    <t>AGM Expenses</t>
  </si>
  <si>
    <t>Hotels</t>
  </si>
  <si>
    <t>Meals</t>
  </si>
  <si>
    <t>Travel</t>
  </si>
  <si>
    <t>AGM Expenses - Other</t>
  </si>
  <si>
    <t>Total AGM Expenses</t>
  </si>
  <si>
    <t>Board Meetings Travel &amp; Meals</t>
  </si>
  <si>
    <t>Catering</t>
  </si>
  <si>
    <t>Board Meetings Travel &amp; Meals - Other</t>
  </si>
  <si>
    <t>Total Board Meetings Travel &amp; Meals</t>
  </si>
  <si>
    <t>Conferencing</t>
  </si>
  <si>
    <t>Directors Insurance</t>
  </si>
  <si>
    <t>Meeting Room Rental</t>
  </si>
  <si>
    <t>Board Expenses - Other</t>
  </si>
  <si>
    <t>Total Board Expenses</t>
  </si>
  <si>
    <t>Member services</t>
  </si>
  <si>
    <t>CFMTA Delegate Expenses</t>
  </si>
  <si>
    <t>CFMTA Dues</t>
  </si>
  <si>
    <t>Conference/AGM</t>
  </si>
  <si>
    <t>Meal payments</t>
  </si>
  <si>
    <t>Catering - Other</t>
  </si>
  <si>
    <t>Total Catering</t>
  </si>
  <si>
    <t>Conference Registrations</t>
  </si>
  <si>
    <t>Printing, Postage, and Supplies</t>
  </si>
  <si>
    <t>Sessions &amp; Seminars</t>
  </si>
  <si>
    <t>Clinician Travel Expenses</t>
  </si>
  <si>
    <t>Session Honorariums</t>
  </si>
  <si>
    <t>Sessions &amp; Seminars - Other</t>
  </si>
  <si>
    <t>Total Sessions &amp; Seminars</t>
  </si>
  <si>
    <t>Conference/AGM - Other</t>
  </si>
  <si>
    <t>Total Conference/AGM</t>
  </si>
  <si>
    <t>Directory</t>
  </si>
  <si>
    <t>Directory Postage</t>
  </si>
  <si>
    <t>Directory Printing</t>
  </si>
  <si>
    <t>Directory - Other</t>
  </si>
  <si>
    <t>Total Directory</t>
  </si>
  <si>
    <t>Honoraria &amp; Gifts</t>
  </si>
  <si>
    <t>Insurance</t>
  </si>
  <si>
    <t>Members Postage</t>
  </si>
  <si>
    <t>Membership Renewals</t>
  </si>
  <si>
    <t>Membership Renewals Postage</t>
  </si>
  <si>
    <t>Membership Renewals Printing</t>
  </si>
  <si>
    <t>Membership Renewals - Other</t>
  </si>
  <si>
    <t>Tempo</t>
  </si>
  <si>
    <t>Editor Honorarium</t>
  </si>
  <si>
    <t>Printing</t>
  </si>
  <si>
    <t>Tempo - Other</t>
  </si>
  <si>
    <t>Total Tempo</t>
  </si>
  <si>
    <t>Website and Database</t>
  </si>
  <si>
    <t>Webmaster Contract</t>
  </si>
  <si>
    <t>Website Hosting</t>
  </si>
  <si>
    <t>Website and Database - Other</t>
  </si>
  <si>
    <t>Total Website and Database</t>
  </si>
  <si>
    <t>Member services - Other</t>
  </si>
  <si>
    <t>Total Member services</t>
  </si>
  <si>
    <t>Partnerships</t>
  </si>
  <si>
    <t>Alberta Music Festival Assoc.</t>
  </si>
  <si>
    <t>CASSA Musical Arts</t>
  </si>
  <si>
    <t>Partnerships - Other</t>
  </si>
  <si>
    <t>Total Partnerships</t>
  </si>
  <si>
    <t>President's Expenses</t>
  </si>
  <si>
    <t>CFMTA President Visit</t>
  </si>
  <si>
    <t>General</t>
  </si>
  <si>
    <t>Visits to Branches</t>
  </si>
  <si>
    <t>President's Expenses - Other</t>
  </si>
  <si>
    <t>Total President's Expenses</t>
  </si>
  <si>
    <t>Projects</t>
  </si>
  <si>
    <t>ARMTA Recognition Fund Donation</t>
  </si>
  <si>
    <t>Collegiate Chapters</t>
  </si>
  <si>
    <t>Commissions</t>
  </si>
  <si>
    <t>Community Service Certificates</t>
  </si>
  <si>
    <t>Continuing Ed./Travelling Work.</t>
  </si>
  <si>
    <t>Recognition Fund Postage</t>
  </si>
  <si>
    <t>Strings Competition</t>
  </si>
  <si>
    <t>Student Composer Competition</t>
  </si>
  <si>
    <t>Projects - Other</t>
  </si>
  <si>
    <t>Total Projects</t>
  </si>
  <si>
    <t>Scholarships</t>
  </si>
  <si>
    <t>Continuing Education Scholarshi</t>
  </si>
  <si>
    <t>Scholarships - Other</t>
  </si>
  <si>
    <t>Total Scholarships</t>
  </si>
  <si>
    <t>Uncategorized Expenses</t>
  </si>
  <si>
    <t>Total Expense</t>
  </si>
  <si>
    <t>Net Income</t>
  </si>
  <si>
    <t>2018-2019</t>
  </si>
  <si>
    <t>2019-2020</t>
  </si>
  <si>
    <t>Requested</t>
  </si>
  <si>
    <t>2020-2021</t>
  </si>
  <si>
    <t>Requested By</t>
  </si>
  <si>
    <t>Notes/Rationale</t>
  </si>
  <si>
    <t>Final Budget</t>
  </si>
  <si>
    <t>Vicki</t>
  </si>
  <si>
    <t>depreciation on computer</t>
  </si>
  <si>
    <t>rather less without weekly mailbox runs!</t>
  </si>
  <si>
    <t>$32/month</t>
  </si>
  <si>
    <t>Marlaine</t>
  </si>
  <si>
    <t>Deanna</t>
  </si>
  <si>
    <t>ARMTA Recognition Fund Scholarship February 2020 Budget Recommendations</t>
  </si>
  <si>
    <t xml:space="preserve">Report to ARMTA Provincial Board </t>
  </si>
  <si>
    <t>Recommendations below are indicated as follows:</t>
  </si>
  <si>
    <t xml:space="preserve">Projects </t>
  </si>
  <si>
    <t xml:space="preserve"> </t>
  </si>
  <si>
    <t>2019-20</t>
  </si>
  <si>
    <t>Biennial Awards</t>
  </si>
  <si>
    <t xml:space="preserve">Piano Competition $4,000     </t>
  </si>
  <si>
    <t xml:space="preserve">    </t>
  </si>
  <si>
    <t>Dorothy Buckley Prize for Best Canadian</t>
  </si>
  <si>
    <t>Provincial Voice Competition $4,000</t>
  </si>
  <si>
    <t xml:space="preserve">ARMTA offers a “surprise award” of $200 for competitors who do not place in the top 3.  This is NOT advertised in advance. </t>
  </si>
  <si>
    <t>CASSA (Calgary Arts Summer School) Scholarships</t>
  </si>
  <si>
    <t>Provincial Awards to the Branches</t>
  </si>
  <si>
    <t>Calculated at $750 each for Small Branches $1,000 each for Calgary and Edmonton</t>
  </si>
  <si>
    <t>Student Composer Competition Awards</t>
  </si>
  <si>
    <t>Bursaries (Needs Based)</t>
  </si>
  <si>
    <t xml:space="preserve">max. </t>
  </si>
  <si>
    <t>ARMTA Pedagogy Scholarships</t>
  </si>
  <si>
    <t>Contemporary Showcases</t>
  </si>
  <si>
    <t xml:space="preserve">                      </t>
  </si>
  <si>
    <t>annually</t>
  </si>
  <si>
    <t>incentive</t>
  </si>
  <si>
    <t>from $880 to $910/month = 3.4% cost of living increase</t>
  </si>
  <si>
    <t>Viktoria</t>
  </si>
  <si>
    <t>same as last year</t>
  </si>
  <si>
    <t>same as last year; tech costs</t>
  </si>
  <si>
    <t>Lisa</t>
  </si>
  <si>
    <t>including cost of addiitonal pages</t>
  </si>
  <si>
    <t>Carolyn</t>
  </si>
  <si>
    <t>Vicki/Judith</t>
  </si>
  <si>
    <t>tradition</t>
  </si>
  <si>
    <t>last 2 years actual</t>
  </si>
  <si>
    <t>Christine</t>
  </si>
  <si>
    <t>this is the year to invite the CFMTA president to the AGM</t>
  </si>
  <si>
    <t>Alison</t>
  </si>
  <si>
    <t>not this coming year</t>
  </si>
  <si>
    <t>not running this coming year</t>
  </si>
  <si>
    <t>3 entries</t>
  </si>
  <si>
    <t>5 entries</t>
  </si>
  <si>
    <t>expect nothing</t>
  </si>
  <si>
    <t>no longer needed</t>
  </si>
  <si>
    <t>using actual averages</t>
  </si>
  <si>
    <t>Oct in person; Feb by Zoom</t>
  </si>
  <si>
    <t>board development resources?</t>
  </si>
  <si>
    <t>456 current (un-retired) members x $40</t>
  </si>
  <si>
    <t>456 current (un-retired) members x $37</t>
  </si>
  <si>
    <t>+$300 for room rental</t>
  </si>
  <si>
    <t>included in AGM expenses</t>
  </si>
  <si>
    <t>prior year actual</t>
  </si>
  <si>
    <t>$150 milestone certificates, framining, engraving, postage + $50 misc. cards/flowers.</t>
  </si>
  <si>
    <t>2018 actual; 2019 not spent yet</t>
  </si>
  <si>
    <t>tradition: $100 each in honour of Service Award winner and outgoing president</t>
  </si>
  <si>
    <r>
      <t xml:space="preserve">Black </t>
    </r>
    <r>
      <rPr>
        <sz val="10"/>
        <color theme="1"/>
        <rFont val="Arial"/>
        <family val="2"/>
      </rPr>
      <t>is unchanged from past budgets and may not require (much) discussion</t>
    </r>
  </si>
  <si>
    <r>
      <t xml:space="preserve">Red   </t>
    </r>
    <r>
      <rPr>
        <sz val="10"/>
        <color theme="1"/>
        <rFont val="Arial"/>
        <family val="2"/>
      </rPr>
      <t xml:space="preserve">is for </t>
    </r>
    <r>
      <rPr>
        <u/>
        <sz val="10"/>
        <color rgb="FFFF0000"/>
        <rFont val="Arial"/>
        <family val="2"/>
      </rPr>
      <t>changed</t>
    </r>
    <r>
      <rPr>
        <u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or </t>
    </r>
    <r>
      <rPr>
        <u/>
        <sz val="10"/>
        <color rgb="FFFF0000"/>
        <rFont val="Arial"/>
        <family val="2"/>
      </rPr>
      <t>new</t>
    </r>
    <r>
      <rPr>
        <sz val="10"/>
        <color theme="1"/>
        <rFont val="Arial"/>
        <family val="2"/>
      </rPr>
      <t xml:space="preserve"> items that may require discussion -  board approval</t>
    </r>
  </si>
  <si>
    <r>
      <t>Blue</t>
    </r>
    <r>
      <rPr>
        <b/>
        <i/>
        <sz val="10"/>
        <color rgb="FFFF0000"/>
        <rFont val="Arial"/>
        <family val="2"/>
      </rPr>
      <t xml:space="preserve">   </t>
    </r>
    <r>
      <rPr>
        <sz val="10"/>
        <color theme="1"/>
        <rFont val="Arial"/>
        <family val="2"/>
      </rPr>
      <t>is for funds that have been in place but have not been accessed.</t>
    </r>
  </si>
  <si>
    <r>
      <t>(The piano judge gave two 3</t>
    </r>
    <r>
      <rPr>
        <vertAlign val="superscript"/>
        <sz val="8"/>
        <color theme="1"/>
        <rFont val="Arial"/>
        <family val="2"/>
      </rPr>
      <t>rd</t>
    </r>
    <r>
      <rPr>
        <sz val="8"/>
        <color theme="1"/>
        <rFont val="Arial"/>
        <family val="2"/>
      </rPr>
      <t xml:space="preserve"> Prizes of $500 each) </t>
    </r>
  </si>
  <si>
    <r>
      <t xml:space="preserve">Marek Jablonski Prize for Best </t>
    </r>
    <r>
      <rPr>
        <u/>
        <sz val="10"/>
        <color rgb="FFFF0000"/>
        <rFont val="Arial"/>
        <family val="2"/>
      </rPr>
      <t>???</t>
    </r>
  </si>
  <si>
    <r>
      <t xml:space="preserve">Prize for Best Vocal of </t>
    </r>
    <r>
      <rPr>
        <u/>
        <sz val="10"/>
        <color rgb="FFFF0000"/>
        <rFont val="Arial"/>
        <family val="2"/>
      </rPr>
      <t>?????</t>
    </r>
    <r>
      <rPr>
        <sz val="10"/>
        <color rgb="FFFF0000"/>
        <rFont val="Arial"/>
        <family val="2"/>
      </rPr>
      <t xml:space="preserve"> in $500</t>
    </r>
  </si>
  <si>
    <r>
      <t xml:space="preserve">Provincial String Competition PRIZE MONEY 2019 </t>
    </r>
    <r>
      <rPr>
        <sz val="10"/>
        <color rgb="FF0432FF"/>
        <rFont val="Arial"/>
        <family val="2"/>
      </rPr>
      <t>not used</t>
    </r>
  </si>
  <si>
    <r>
      <t xml:space="preserve">If the Rusconi funding changes, spending will have to reflect that.  </t>
    </r>
    <r>
      <rPr>
        <b/>
        <sz val="10"/>
        <color theme="1"/>
        <rFont val="Arial"/>
        <family val="2"/>
      </rPr>
      <t>Donations this year were</t>
    </r>
    <r>
      <rPr>
        <sz val="10"/>
        <color theme="1"/>
        <rFont val="Arial"/>
        <family val="2"/>
      </rPr>
      <t xml:space="preserve">: Rusconi fund:$18,440   Other donations: $750   </t>
    </r>
  </si>
  <si>
    <r>
      <t xml:space="preserve">  </t>
    </r>
    <r>
      <rPr>
        <b/>
        <sz val="12"/>
        <color rgb="FF000000"/>
        <rFont val="Arial"/>
        <family val="2"/>
      </rPr>
      <t xml:space="preserve">2020-21 Recommended  </t>
    </r>
  </si>
  <si>
    <r>
      <t>TOTAL RECOMMENDED SPENDING</t>
    </r>
    <r>
      <rPr>
        <sz val="12"/>
        <color rgb="FF000000"/>
        <rFont val="Arial"/>
        <family val="2"/>
      </rPr>
      <t xml:space="preserve">(NON </t>
    </r>
    <r>
      <rPr>
        <b/>
        <sz val="12"/>
        <color rgb="FF000000"/>
        <rFont val="Arial"/>
        <family val="2"/>
      </rPr>
      <t>CFMTA Competition YEAR)</t>
    </r>
  </si>
  <si>
    <r>
      <t xml:space="preserve">The </t>
    </r>
    <r>
      <rPr>
        <b/>
        <u/>
        <sz val="10"/>
        <color theme="1"/>
        <rFont val="Arial"/>
        <family val="2"/>
      </rPr>
      <t>current</t>
    </r>
    <r>
      <rPr>
        <b/>
        <sz val="10"/>
        <color theme="1"/>
        <rFont val="Arial"/>
        <family val="2"/>
      </rPr>
      <t xml:space="preserve"> balance of the ARMTA Recognition Fund is </t>
    </r>
    <r>
      <rPr>
        <sz val="10"/>
        <color rgb="FF000000"/>
        <rFont val="Arial"/>
        <family val="2"/>
      </rPr>
      <t xml:space="preserve">$52,279.47.  </t>
    </r>
    <r>
      <rPr>
        <sz val="10"/>
        <color theme="1"/>
        <rFont val="Arial"/>
        <family val="2"/>
      </rPr>
      <t>The balance in Feb. 2019 was $58,806.47.</t>
    </r>
    <r>
      <rPr>
        <b/>
        <sz val="10"/>
        <color theme="1"/>
        <rFont val="Arial"/>
        <family val="2"/>
      </rPr>
      <t xml:space="preserve">  </t>
    </r>
    <r>
      <rPr>
        <sz val="10"/>
        <color theme="1"/>
        <rFont val="Arial"/>
        <family val="2"/>
      </rPr>
      <t xml:space="preserve">I see the fact that the balance is going DOWN by $6,000 as a good thing.  ARMTA is awarding more Piano and Voice competition prizes.  Initially, that was the </t>
    </r>
    <r>
      <rPr>
        <u/>
        <sz val="10"/>
        <color theme="1"/>
        <rFont val="Arial"/>
        <family val="2"/>
      </rPr>
      <t>entire</t>
    </r>
    <r>
      <rPr>
        <sz val="10"/>
        <color theme="1"/>
        <rFont val="Arial"/>
        <family val="2"/>
      </rPr>
      <t xml:space="preserve"> reason for the creation of this fund.</t>
    </r>
    <r>
      <rPr>
        <b/>
        <sz val="10"/>
        <color theme="1"/>
        <rFont val="Arial"/>
        <family val="2"/>
      </rPr>
      <t xml:space="preserve">  </t>
    </r>
    <r>
      <rPr>
        <sz val="10"/>
        <color theme="1"/>
        <rFont val="Arial"/>
        <family val="2"/>
      </rPr>
      <t xml:space="preserve">At some stage, one would hope that there will be less call for Needs Based Bursaries in Alberta.  </t>
    </r>
  </si>
  <si>
    <t>based on 2018-2019 actual with branch fees charged back</t>
  </si>
  <si>
    <t>based on current sponsors but Gold level sponsorship to $500, Silver to $250, and Bronze to $150</t>
  </si>
  <si>
    <t>currently has no convenor</t>
  </si>
  <si>
    <t>needs discussion</t>
  </si>
  <si>
    <t>administrator office</t>
  </si>
  <si>
    <t>Facebook advertising</t>
  </si>
  <si>
    <t>Conference Convenor at MCA; probably Edmonton in 2020</t>
  </si>
  <si>
    <t>$108/month for MembershipWorks + $12 domain</t>
  </si>
  <si>
    <t>?</t>
  </si>
  <si>
    <t>approved in principle but not yet awarded</t>
  </si>
  <si>
    <t>meals at CFMTA meetings</t>
  </si>
  <si>
    <t>? Judith</t>
  </si>
  <si>
    <t>Zoom included in Google for Non-Profits</t>
  </si>
  <si>
    <t>GIC interest: 12531 x 2.1% + 20665 x 2.55%</t>
  </si>
  <si>
    <t>Nathene</t>
  </si>
  <si>
    <t>it's not going to work to use the Recognition Fund! Move category to Scholarships</t>
  </si>
  <si>
    <t>remove category from budget</t>
  </si>
  <si>
    <t>456 current members (3/4 earlybird, 1/4 full) + 16 retired + 35 application fees</t>
  </si>
  <si>
    <t>$1405 in 2019 = $100 APTA Session sponsorship; $125 ad in MCA program; $50 to PianoFest; $650 general promo materials; $150 graphic design. 2020 = same except not $150 graphic design</t>
  </si>
  <si>
    <t>BOARD EXPENSE BUDGET</t>
  </si>
  <si>
    <t>1 night hotel for AGM (2 for those travelling over 300 km); 1 night for board meeting with board meeting expenses; 3 nights total for meeting &amp; AGM for those travelling over 300 km</t>
  </si>
  <si>
    <t>Edmonton</t>
  </si>
  <si>
    <t>3 nights/board member travelling over 300 km, 2 nights all others</t>
  </si>
  <si>
    <t>Rate per night</t>
  </si>
  <si>
    <t>Lethbridge</t>
  </si>
  <si>
    <t>Calgary (x3)</t>
  </si>
  <si>
    <t>Edmonton (x4 including administrator)</t>
  </si>
  <si>
    <t>Red Deer</t>
  </si>
  <si>
    <t>Grande Prairie</t>
  </si>
  <si>
    <t>Medicine Hat</t>
  </si>
  <si>
    <t>TOTAL HOTELS</t>
  </si>
  <si>
    <t>TOTAL MEALS</t>
  </si>
  <si>
    <t>TOTAL TRAVEL</t>
  </si>
  <si>
    <t>Vice President (Ft McMurray)</t>
  </si>
  <si>
    <t>Edmonton (x4 including administrator in 2 vehicles)</t>
  </si>
  <si>
    <t>Grande Prairie (flight to all but Edmonton)</t>
  </si>
  <si>
    <t>Includes all reps (including 1 MAL Convenor) at one board meeting and AGM in conjunction in Edmonton</t>
  </si>
  <si>
    <t>MAL (Athabasca)</t>
  </si>
  <si>
    <t># people</t>
  </si>
  <si>
    <t># of days</t>
  </si>
  <si>
    <t>$100 APTA Session sponsorship; $125 ad in MCA program; $50 to PianoFest; $650 general promo materials (pencils, business cards, paperclips, magnets? Up to the convenor)</t>
  </si>
  <si>
    <t>50</t>
  </si>
  <si>
    <t>maximum of $50 per day with receipts</t>
  </si>
  <si>
    <t>President (Ft McMurray) (flight)</t>
  </si>
  <si>
    <t>2 vehicles</t>
  </si>
  <si>
    <t>Parking ($20/day x 12)</t>
  </si>
  <si>
    <t>CFMTA president will be at CFMTA 2021 conference</t>
  </si>
  <si>
    <t>CFMTA Conference 2021</t>
  </si>
  <si>
    <t>renamed to Romantic…</t>
  </si>
  <si>
    <t>to align with CFMTA prize</t>
  </si>
  <si>
    <t>intended to help out with travel costs. Will discuss whether finalists should be limited to 3 at next board meeting</t>
  </si>
  <si>
    <t>divided as CASSA would like - probably 3 x $150</t>
  </si>
  <si>
    <t>not including $200 balance carried forward from Calgary</t>
  </si>
  <si>
    <t>to include Red Deer if their CS goes ahead</t>
  </si>
  <si>
    <t>2020-21 FINAL</t>
  </si>
  <si>
    <t>President (Ft McMurray)</t>
  </si>
  <si>
    <t>Board Meeting &amp; AGM Expenses</t>
  </si>
  <si>
    <t>make a bigger note about e-transfers on next renewal reminder</t>
  </si>
  <si>
    <t>see Board Expenses worksheet</t>
  </si>
  <si>
    <t>$325 conference fees, $20 per day parking, $50 per day per diem</t>
  </si>
  <si>
    <t>discounts for ARMTA members to attend; details to be worked out at October 2020 board meeting</t>
  </si>
  <si>
    <t>two prizes in vocal and piano; move category to Scholarships instead of Partnerships</t>
  </si>
  <si>
    <t>see Board Meetings Travel &amp; Meals as the AGM &amp; Board meetings are combined</t>
  </si>
  <si>
    <t>Notes on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</si>
</sst>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\-&quot;$&quot;#,##0"/>
  </numFmts>
  <fonts count="34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u/>
      <sz val="10"/>
      <color rgb="FFFF0000"/>
      <name val="Arial"/>
      <family val="2"/>
    </font>
    <font>
      <u/>
      <sz val="10"/>
      <color theme="1"/>
      <name val="Arial"/>
      <family val="2"/>
    </font>
    <font>
      <b/>
      <sz val="10"/>
      <color rgb="FF0F22B1"/>
      <name val="Arial"/>
      <family val="2"/>
    </font>
    <font>
      <b/>
      <i/>
      <sz val="10"/>
      <color rgb="FFFF0000"/>
      <name val="Arial"/>
      <family val="2"/>
    </font>
    <font>
      <b/>
      <u/>
      <sz val="10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color rgb="FFFF0000"/>
      <name val="Arial"/>
      <family val="2"/>
    </font>
    <font>
      <sz val="10"/>
      <color rgb="FF0432FF"/>
      <name val="Arial"/>
      <family val="2"/>
    </font>
    <font>
      <strike/>
      <sz val="10"/>
      <color rgb="FF0432FF"/>
      <name val="Arial"/>
      <family val="2"/>
    </font>
    <font>
      <b/>
      <i/>
      <sz val="10"/>
      <color theme="1"/>
      <name val="Arial"/>
      <family val="2"/>
    </font>
    <font>
      <sz val="11"/>
      <color rgb="FF0F22B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2"/>
      <color rgb="FF0000FF"/>
      <name val="Arial"/>
      <family val="2"/>
    </font>
    <font>
      <sz val="12"/>
      <color rgb="FF0F22B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66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39" fontId="2" fillId="0" borderId="0" xfId="0" applyNumberFormat="1" applyFont="1"/>
    <xf numFmtId="49" fontId="2" fillId="0" borderId="0" xfId="0" applyNumberFormat="1" applyFont="1"/>
    <xf numFmtId="39" fontId="2" fillId="0" borderId="3" xfId="0" applyNumberFormat="1" applyFont="1" applyBorder="1"/>
    <xf numFmtId="39" fontId="2" fillId="0" borderId="0" xfId="0" applyNumberFormat="1" applyFont="1" applyBorder="1"/>
    <xf numFmtId="39" fontId="2" fillId="0" borderId="6" xfId="0" applyNumberFormat="1" applyFont="1" applyBorder="1"/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49" fontId="4" fillId="0" borderId="0" xfId="0" applyNumberFormat="1" applyFont="1"/>
    <xf numFmtId="49" fontId="5" fillId="0" borderId="0" xfId="0" applyNumberFormat="1" applyFont="1"/>
    <xf numFmtId="0" fontId="6" fillId="0" borderId="0" xfId="0" applyFont="1"/>
    <xf numFmtId="0" fontId="4" fillId="0" borderId="0" xfId="0" applyFont="1"/>
    <xf numFmtId="39" fontId="4" fillId="0" borderId="5" xfId="0" applyNumberFormat="1" applyFont="1" applyBorder="1"/>
    <xf numFmtId="39" fontId="4" fillId="0" borderId="6" xfId="0" applyNumberFormat="1" applyFont="1" applyBorder="1"/>
    <xf numFmtId="0" fontId="7" fillId="0" borderId="0" xfId="0" applyFont="1"/>
    <xf numFmtId="39" fontId="5" fillId="0" borderId="0" xfId="0" applyNumberFormat="1" applyFont="1"/>
    <xf numFmtId="39" fontId="4" fillId="0" borderId="0" xfId="0" applyNumberFormat="1" applyFont="1"/>
    <xf numFmtId="39" fontId="2" fillId="0" borderId="4" xfId="0" applyNumberFormat="1" applyFont="1" applyBorder="1"/>
    <xf numFmtId="39" fontId="2" fillId="2" borderId="0" xfId="0" applyNumberFormat="1" applyFont="1" applyFill="1"/>
    <xf numFmtId="39" fontId="2" fillId="3" borderId="0" xfId="0" applyNumberFormat="1" applyFont="1" applyFill="1"/>
    <xf numFmtId="39" fontId="2" fillId="3" borderId="3" xfId="0" applyNumberFormat="1" applyFont="1" applyFill="1" applyBorder="1"/>
    <xf numFmtId="39" fontId="2" fillId="0" borderId="0" xfId="0" quotePrefix="1" applyNumberFormat="1" applyFont="1" applyBorder="1"/>
    <xf numFmtId="0" fontId="10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6" fontId="12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6" fontId="22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6" fontId="5" fillId="0" borderId="0" xfId="0" applyNumberFormat="1" applyFont="1" applyAlignment="1">
      <alignment vertical="center"/>
    </xf>
    <xf numFmtId="6" fontId="23" fillId="0" borderId="0" xfId="0" applyNumberFormat="1" applyFont="1" applyAlignment="1"/>
    <xf numFmtId="6" fontId="24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6" fontId="27" fillId="0" borderId="0" xfId="0" applyNumberFormat="1" applyFont="1" applyAlignment="1">
      <alignment vertical="center"/>
    </xf>
    <xf numFmtId="6" fontId="28" fillId="0" borderId="0" xfId="0" applyNumberFormat="1" applyFont="1" applyBorder="1"/>
    <xf numFmtId="0" fontId="11" fillId="0" borderId="0" xfId="0" applyFont="1"/>
    <xf numFmtId="0" fontId="29" fillId="0" borderId="0" xfId="0" applyFont="1" applyAlignment="1">
      <alignment vertical="center"/>
    </xf>
    <xf numFmtId="0" fontId="9" fillId="0" borderId="3" xfId="0" applyFont="1" applyBorder="1" applyAlignment="1">
      <alignment vertical="center"/>
    </xf>
    <xf numFmtId="0" fontId="11" fillId="0" borderId="3" xfId="0" applyFont="1" applyBorder="1"/>
    <xf numFmtId="0" fontId="3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6" fontId="3" fillId="0" borderId="0" xfId="0" applyNumberFormat="1" applyFont="1" applyAlignment="1">
      <alignment vertical="center"/>
    </xf>
    <xf numFmtId="6" fontId="9" fillId="0" borderId="7" xfId="0" applyNumberFormat="1" applyFont="1" applyBorder="1"/>
    <xf numFmtId="0" fontId="12" fillId="0" borderId="0" xfId="0" applyFont="1"/>
    <xf numFmtId="39" fontId="2" fillId="0" borderId="0" xfId="0" applyNumberFormat="1" applyFont="1" applyFill="1"/>
    <xf numFmtId="39" fontId="2" fillId="2" borderId="3" xfId="0" applyNumberFormat="1" applyFont="1" applyFill="1" applyBorder="1"/>
    <xf numFmtId="39" fontId="2" fillId="0" borderId="0" xfId="0" quotePrefix="1" applyNumberFormat="1" applyFont="1" applyFill="1"/>
    <xf numFmtId="39" fontId="2" fillId="0" borderId="0" xfId="0" applyNumberFormat="1" applyFont="1" applyAlignment="1"/>
    <xf numFmtId="39" fontId="2" fillId="3" borderId="0" xfId="0" applyNumberFormat="1" applyFont="1" applyFill="1" applyBorder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49" fontId="3" fillId="0" borderId="0" xfId="0" applyNumberFormat="1" applyFont="1"/>
    <xf numFmtId="3" fontId="0" fillId="0" borderId="0" xfId="0" applyNumberFormat="1"/>
    <xf numFmtId="0" fontId="20" fillId="0" borderId="0" xfId="0" applyFont="1"/>
    <xf numFmtId="3" fontId="2" fillId="0" borderId="0" xfId="0" applyNumberFormat="1" applyFont="1" applyAlignment="1">
      <alignment vertical="top" wrapText="1"/>
    </xf>
    <xf numFmtId="3" fontId="2" fillId="0" borderId="0" xfId="0" applyNumberFormat="1" applyFont="1"/>
    <xf numFmtId="49" fontId="1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1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wrapText="1"/>
    </xf>
    <xf numFmtId="3" fontId="2" fillId="0" borderId="3" xfId="0" applyNumberFormat="1" applyFont="1" applyBorder="1"/>
    <xf numFmtId="3" fontId="1" fillId="0" borderId="0" xfId="0" applyNumberFormat="1" applyFont="1"/>
    <xf numFmtId="49" fontId="2" fillId="0" borderId="0" xfId="0" applyNumberFormat="1" applyFont="1" applyAlignment="1">
      <alignment wrapText="1"/>
    </xf>
    <xf numFmtId="3" fontId="1" fillId="0" borderId="4" xfId="0" applyNumberFormat="1" applyFont="1" applyBorder="1"/>
    <xf numFmtId="39" fontId="2" fillId="0" borderId="3" xfId="0" applyNumberFormat="1" applyFont="1" applyFill="1" applyBorder="1"/>
    <xf numFmtId="0" fontId="10" fillId="0" borderId="0" xfId="0" applyFont="1" applyAlignment="1">
      <alignment wrapText="1"/>
    </xf>
    <xf numFmtId="0" fontId="31" fillId="0" borderId="0" xfId="0" applyFont="1"/>
    <xf numFmtId="0" fontId="32" fillId="0" borderId="0" xfId="0" applyFont="1" applyAlignment="1">
      <alignment vertical="center"/>
    </xf>
    <xf numFmtId="6" fontId="32" fillId="0" borderId="0" xfId="0" applyNumberFormat="1" applyFont="1" applyAlignment="1">
      <alignment vertical="center"/>
    </xf>
    <xf numFmtId="6" fontId="32" fillId="0" borderId="0" xfId="0" applyNumberFormat="1" applyFont="1" applyAlignment="1"/>
    <xf numFmtId="0" fontId="9" fillId="0" borderId="3" xfId="0" applyFont="1" applyBorder="1" applyAlignment="1">
      <alignment horizontal="center" vertical="center" wrapText="1"/>
    </xf>
    <xf numFmtId="0" fontId="33" fillId="0" borderId="0" xfId="0" applyFont="1"/>
    <xf numFmtId="0" fontId="20" fillId="0" borderId="0" xfId="0" applyFont="1" applyAlignment="1"/>
    <xf numFmtId="0" fontId="1" fillId="0" borderId="0" xfId="0" applyFont="1"/>
    <xf numFmtId="0" fontId="20" fillId="3" borderId="0" xfId="0" applyNumberFormat="1" applyFont="1" applyFill="1"/>
    <xf numFmtId="0" fontId="20" fillId="2" borderId="0" xfId="0" applyNumberFormat="1" applyFont="1" applyFill="1"/>
    <xf numFmtId="49" fontId="3" fillId="0" borderId="2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horizontal="left" vertical="top" wrapText="1"/>
    </xf>
    <xf numFmtId="39" fontId="2" fillId="0" borderId="0" xfId="0" applyNumberFormat="1" applyFont="1" applyAlignment="1">
      <alignment wrapText="1"/>
    </xf>
    <xf numFmtId="0" fontId="20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9525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9525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C302B-C808-41C5-BF31-6039856B56E3}">
  <sheetPr codeName="Sheet1"/>
  <dimension ref="A1:R136"/>
  <sheetViews>
    <sheetView workbookViewId="0">
      <pane xSplit="5" ySplit="2" topLeftCell="N3" activePane="bottomRight" state="frozenSplit"/>
      <selection pane="topRight" activeCell="G1" sqref="G1"/>
      <selection pane="bottomLeft" activeCell="A3" sqref="A3"/>
      <selection pane="bottomRight" activeCell="R136" sqref="A1:R136"/>
    </sheetView>
  </sheetViews>
  <sheetFormatPr defaultRowHeight="15" outlineLevelRow="5" outlineLevelCol="1" x14ac:dyDescent="0.25"/>
  <cols>
    <col min="1" max="4" width="3" style="12" customWidth="1"/>
    <col min="5" max="5" width="29.7109375" style="12" customWidth="1"/>
    <col min="6" max="6" width="13.28515625" style="13" hidden="1" customWidth="1" outlineLevel="1"/>
    <col min="7" max="7" width="9.140625" style="13" hidden="1" customWidth="1" outlineLevel="1"/>
    <col min="8" max="8" width="12.140625" style="13" hidden="1" customWidth="1" collapsed="1"/>
    <col min="9" max="9" width="2.28515625" style="13" hidden="1" customWidth="1"/>
    <col min="10" max="10" width="15.7109375" style="13" hidden="1" customWidth="1" outlineLevel="1"/>
    <col min="11" max="11" width="9.140625" style="13" hidden="1" customWidth="1" outlineLevel="1"/>
    <col min="12" max="12" width="12.140625" style="13" hidden="1" customWidth="1" collapsed="1"/>
    <col min="13" max="13" width="2.28515625" style="13" hidden="1" customWidth="1"/>
    <col min="14" max="14" width="15.5703125" style="13" bestFit="1" customWidth="1"/>
    <col min="15" max="15" width="9.85546875" style="13" customWidth="1"/>
    <col min="16" max="16" width="25.5703125" style="13" customWidth="1"/>
    <col min="17" max="17" width="12" style="13" bestFit="1" customWidth="1"/>
    <col min="18" max="18" width="38.28515625" style="66" customWidth="1"/>
  </cols>
  <sheetData>
    <row r="1" spans="1:18" ht="17.25" thickTop="1" thickBot="1" x14ac:dyDescent="0.3">
      <c r="A1" s="2"/>
      <c r="B1" s="2"/>
      <c r="C1" s="2"/>
      <c r="D1" s="2"/>
      <c r="E1" s="2"/>
      <c r="F1" s="89" t="s">
        <v>124</v>
      </c>
      <c r="G1" s="89"/>
      <c r="H1" s="89"/>
      <c r="I1" s="1"/>
      <c r="J1" s="89" t="s">
        <v>125</v>
      </c>
      <c r="K1" s="89"/>
      <c r="L1" s="89"/>
      <c r="M1" s="1"/>
      <c r="N1" s="90" t="s">
        <v>127</v>
      </c>
      <c r="O1" s="90"/>
      <c r="P1" s="90"/>
      <c r="Q1" s="90"/>
    </row>
    <row r="2" spans="1:18" s="11" customFormat="1" ht="16.5" thickTop="1" thickBot="1" x14ac:dyDescent="0.3">
      <c r="A2" s="8"/>
      <c r="B2" s="8"/>
      <c r="C2" s="8"/>
      <c r="D2" s="8"/>
      <c r="E2" s="8"/>
      <c r="F2" s="9" t="s">
        <v>0</v>
      </c>
      <c r="G2" s="9" t="s">
        <v>1</v>
      </c>
      <c r="H2" s="9" t="s">
        <v>2</v>
      </c>
      <c r="I2" s="10"/>
      <c r="J2" s="9" t="s">
        <v>3</v>
      </c>
      <c r="K2" s="9" t="s">
        <v>1</v>
      </c>
      <c r="L2" s="9" t="s">
        <v>2</v>
      </c>
      <c r="M2" s="10"/>
      <c r="N2" s="9" t="s">
        <v>126</v>
      </c>
      <c r="O2" s="9" t="s">
        <v>128</v>
      </c>
      <c r="P2" s="9" t="s">
        <v>129</v>
      </c>
      <c r="Q2" s="9" t="s">
        <v>130</v>
      </c>
      <c r="R2" s="9" t="s">
        <v>264</v>
      </c>
    </row>
    <row r="3" spans="1:18" s="16" customFormat="1" ht="13.5" outlineLevel="2" thickTop="1" x14ac:dyDescent="0.2">
      <c r="A3" s="14" t="s">
        <v>4</v>
      </c>
      <c r="B3" s="14"/>
      <c r="C3" s="14"/>
      <c r="D3" s="14"/>
      <c r="E3" s="14"/>
      <c r="F3" s="21"/>
      <c r="G3" s="21"/>
      <c r="H3" s="21"/>
      <c r="I3" s="15"/>
      <c r="J3" s="21"/>
      <c r="K3" s="21"/>
      <c r="L3" s="21"/>
      <c r="M3" s="15"/>
      <c r="N3" s="21"/>
      <c r="O3" s="21"/>
      <c r="P3" s="21"/>
      <c r="Q3" s="21"/>
      <c r="R3" s="66"/>
    </row>
    <row r="4" spans="1:18" outlineLevel="2" x14ac:dyDescent="0.25">
      <c r="A4" s="2"/>
      <c r="B4" s="2" t="s">
        <v>5</v>
      </c>
      <c r="C4" s="2"/>
      <c r="D4" s="2"/>
      <c r="E4" s="2"/>
      <c r="F4" s="3">
        <v>125</v>
      </c>
      <c r="G4" s="3">
        <v>50</v>
      </c>
      <c r="H4" s="3">
        <f>ROUND((F4-G4),5)</f>
        <v>75</v>
      </c>
      <c r="I4" s="4"/>
      <c r="J4" s="3">
        <v>75</v>
      </c>
      <c r="K4" s="3">
        <v>50</v>
      </c>
      <c r="L4" s="3">
        <f>ROUND((J4-K4),5)</f>
        <v>25</v>
      </c>
      <c r="M4" s="4"/>
      <c r="N4" s="3">
        <v>75</v>
      </c>
      <c r="O4" s="3"/>
      <c r="P4" s="3" t="s">
        <v>169</v>
      </c>
      <c r="Q4" s="3">
        <v>75</v>
      </c>
    </row>
    <row r="5" spans="1:18" outlineLevel="2" x14ac:dyDescent="0.25">
      <c r="A5" s="2"/>
      <c r="B5" s="2" t="s">
        <v>6</v>
      </c>
      <c r="C5" s="2"/>
      <c r="D5" s="2"/>
      <c r="E5" s="2"/>
      <c r="F5" s="3">
        <v>40</v>
      </c>
      <c r="G5" s="3">
        <v>0</v>
      </c>
      <c r="H5" s="3">
        <f>ROUND((F5-G5),5)</f>
        <v>40</v>
      </c>
      <c r="I5" s="4"/>
      <c r="J5" s="3">
        <v>40</v>
      </c>
      <c r="K5" s="3">
        <v>0</v>
      </c>
      <c r="L5" s="3">
        <f>ROUND((J5-K5),5)</f>
        <v>40</v>
      </c>
      <c r="M5" s="4"/>
      <c r="N5" s="3">
        <v>40</v>
      </c>
      <c r="O5" s="3"/>
      <c r="P5" s="3" t="s">
        <v>169</v>
      </c>
      <c r="Q5" s="3">
        <v>40</v>
      </c>
    </row>
    <row r="6" spans="1:18" hidden="1" outlineLevel="3" x14ac:dyDescent="0.25">
      <c r="A6" s="2"/>
      <c r="B6" s="2" t="s">
        <v>7</v>
      </c>
      <c r="C6" s="2"/>
      <c r="D6" s="2"/>
      <c r="E6" s="2"/>
      <c r="F6" s="3"/>
      <c r="G6" s="3"/>
      <c r="H6" s="3"/>
      <c r="I6" s="4"/>
      <c r="J6" s="3"/>
      <c r="K6" s="3"/>
      <c r="L6" s="3"/>
      <c r="M6" s="4"/>
      <c r="N6" s="3"/>
      <c r="O6" s="3"/>
      <c r="P6" s="3"/>
      <c r="Q6" s="3"/>
    </row>
    <row r="7" spans="1:18" hidden="1" outlineLevel="3" x14ac:dyDescent="0.25">
      <c r="A7" s="2"/>
      <c r="B7" s="2"/>
      <c r="C7" s="2" t="s">
        <v>8</v>
      </c>
      <c r="D7" s="2"/>
      <c r="E7" s="2"/>
      <c r="F7" s="3">
        <v>0</v>
      </c>
      <c r="G7" s="3">
        <v>0</v>
      </c>
      <c r="H7" s="3">
        <f>ROUND((F7-G7),5)</f>
        <v>0</v>
      </c>
      <c r="I7" s="4"/>
      <c r="J7" s="3">
        <v>0</v>
      </c>
      <c r="K7" s="3">
        <v>0</v>
      </c>
      <c r="L7" s="3">
        <f>ROUND((J7-K7),5)</f>
        <v>0</v>
      </c>
      <c r="M7" s="4"/>
      <c r="N7" s="3"/>
      <c r="O7" s="3"/>
      <c r="P7" s="3"/>
      <c r="Q7" s="3"/>
    </row>
    <row r="8" spans="1:18" ht="15.75" hidden="1" outlineLevel="3" thickBot="1" x14ac:dyDescent="0.3">
      <c r="A8" s="2"/>
      <c r="B8" s="2"/>
      <c r="C8" s="2" t="s">
        <v>9</v>
      </c>
      <c r="D8" s="2"/>
      <c r="E8" s="2"/>
      <c r="F8" s="5">
        <v>0</v>
      </c>
      <c r="G8" s="5">
        <v>0</v>
      </c>
      <c r="H8" s="5">
        <f>ROUND((F8-G8),5)</f>
        <v>0</v>
      </c>
      <c r="I8" s="4"/>
      <c r="J8" s="5">
        <v>25</v>
      </c>
      <c r="K8" s="5">
        <v>0</v>
      </c>
      <c r="L8" s="5">
        <f>ROUND((J8-K8),5)</f>
        <v>25</v>
      </c>
      <c r="M8" s="4"/>
      <c r="N8" s="5"/>
      <c r="O8" s="5"/>
      <c r="P8" s="5"/>
      <c r="Q8" s="5"/>
    </row>
    <row r="9" spans="1:18" outlineLevel="2" collapsed="1" x14ac:dyDescent="0.25">
      <c r="A9" s="2"/>
      <c r="B9" s="2" t="s">
        <v>7</v>
      </c>
      <c r="C9" s="2"/>
      <c r="D9" s="2"/>
      <c r="E9" s="2"/>
      <c r="F9" s="3">
        <f>ROUND(SUM(F6:F8),5)</f>
        <v>0</v>
      </c>
      <c r="G9" s="3">
        <f>ROUND(SUM(G6:G8),5)</f>
        <v>0</v>
      </c>
      <c r="H9" s="3">
        <f>ROUND((F9-G9),5)</f>
        <v>0</v>
      </c>
      <c r="I9" s="4"/>
      <c r="J9" s="3">
        <f>ROUND(SUM(J6:J8),5)</f>
        <v>25</v>
      </c>
      <c r="K9" s="3">
        <f>ROUND(SUM(K6:K8),5)</f>
        <v>0</v>
      </c>
      <c r="L9" s="3">
        <f>ROUND((J9-K9),5)</f>
        <v>25</v>
      </c>
      <c r="M9" s="4"/>
      <c r="N9" s="3">
        <v>0</v>
      </c>
      <c r="O9" s="3"/>
      <c r="P9" s="3" t="s">
        <v>177</v>
      </c>
      <c r="Q9" s="3">
        <v>0</v>
      </c>
    </row>
    <row r="10" spans="1:18" outlineLevel="2" x14ac:dyDescent="0.25">
      <c r="A10" s="2"/>
      <c r="B10" s="2" t="s">
        <v>10</v>
      </c>
      <c r="C10" s="2"/>
      <c r="D10" s="2"/>
      <c r="E10" s="2"/>
      <c r="F10" s="3">
        <v>577.88</v>
      </c>
      <c r="G10" s="3">
        <v>510</v>
      </c>
      <c r="H10" s="3">
        <f>ROUND((F10-G10),5)</f>
        <v>67.88</v>
      </c>
      <c r="I10" s="4"/>
      <c r="J10" s="3">
        <v>318.99</v>
      </c>
      <c r="K10" s="3">
        <v>830</v>
      </c>
      <c r="L10" s="3">
        <f>ROUND((J10-K10),5)</f>
        <v>-511.01</v>
      </c>
      <c r="M10" s="4"/>
      <c r="N10" s="3">
        <f>(12531*2.1%)+(20665*2.55%)</f>
        <v>790.10850000000005</v>
      </c>
      <c r="O10" s="3"/>
      <c r="P10" s="59" t="s">
        <v>214</v>
      </c>
      <c r="Q10" s="3">
        <v>790</v>
      </c>
    </row>
    <row r="11" spans="1:18" outlineLevel="2" x14ac:dyDescent="0.25">
      <c r="A11" s="2"/>
      <c r="B11" s="2" t="s">
        <v>11</v>
      </c>
      <c r="C11" s="2"/>
      <c r="D11" s="2"/>
      <c r="E11" s="2"/>
      <c r="F11" s="3">
        <v>64040</v>
      </c>
      <c r="G11" s="3">
        <v>61875</v>
      </c>
      <c r="H11" s="3">
        <f>ROUND((F11-G11),5)</f>
        <v>2165</v>
      </c>
      <c r="I11" s="4"/>
      <c r="J11" s="3">
        <v>66020</v>
      </c>
      <c r="K11" s="3">
        <v>64425</v>
      </c>
      <c r="L11" s="3">
        <f>ROUND((J11-K11),5)</f>
        <v>1595</v>
      </c>
      <c r="M11" s="4"/>
      <c r="N11" s="3">
        <f>(456*0.75*150)+(456*0.25*165)+(16*80)+(35*25)</f>
        <v>72265</v>
      </c>
      <c r="O11" s="3"/>
      <c r="P11" s="3" t="s">
        <v>218</v>
      </c>
      <c r="Q11" s="3">
        <f>(456*0.75*150)+(456*0.25*165)+(16*80)+(35*25)</f>
        <v>72265</v>
      </c>
    </row>
    <row r="12" spans="1:18" outlineLevel="3" x14ac:dyDescent="0.25">
      <c r="A12" s="2"/>
      <c r="B12" s="2" t="s">
        <v>12</v>
      </c>
      <c r="C12" s="2"/>
      <c r="D12" s="2"/>
      <c r="E12" s="2"/>
      <c r="F12" s="3"/>
      <c r="G12" s="3"/>
      <c r="H12" s="3"/>
      <c r="I12" s="4"/>
      <c r="J12" s="3"/>
      <c r="K12" s="3"/>
      <c r="L12" s="3"/>
      <c r="M12" s="4"/>
      <c r="N12" s="3"/>
      <c r="O12" s="3"/>
      <c r="P12" s="3"/>
      <c r="Q12" s="3"/>
    </row>
    <row r="13" spans="1:18" outlineLevel="3" x14ac:dyDescent="0.25">
      <c r="A13" s="2"/>
      <c r="B13" s="2"/>
      <c r="C13" s="2" t="s">
        <v>13</v>
      </c>
      <c r="D13" s="2"/>
      <c r="E13" s="2"/>
      <c r="F13" s="3">
        <v>545</v>
      </c>
      <c r="G13" s="3">
        <v>600</v>
      </c>
      <c r="H13" s="3">
        <f>ROUND((F13-G13),5)</f>
        <v>-55</v>
      </c>
      <c r="I13" s="4"/>
      <c r="J13" s="3">
        <v>205</v>
      </c>
      <c r="K13" s="3">
        <v>600</v>
      </c>
      <c r="L13" s="3">
        <f t="shared" ref="L13:L21" si="0">ROUND((J13-K13),5)</f>
        <v>-395</v>
      </c>
      <c r="M13" s="4"/>
      <c r="N13" s="3">
        <v>600</v>
      </c>
      <c r="O13" s="3" t="s">
        <v>170</v>
      </c>
      <c r="P13" s="3" t="s">
        <v>162</v>
      </c>
      <c r="Q13" s="3">
        <v>600</v>
      </c>
    </row>
    <row r="14" spans="1:18" outlineLevel="3" x14ac:dyDescent="0.25">
      <c r="A14" s="2"/>
      <c r="B14" s="2"/>
      <c r="C14" s="2" t="s">
        <v>14</v>
      </c>
      <c r="D14" s="2"/>
      <c r="E14" s="2"/>
      <c r="F14" s="3">
        <v>200</v>
      </c>
      <c r="G14" s="3">
        <v>150</v>
      </c>
      <c r="H14" s="3">
        <f>ROUND((F14-G14),5)</f>
        <v>50</v>
      </c>
      <c r="I14" s="4"/>
      <c r="J14" s="3">
        <v>0</v>
      </c>
      <c r="K14" s="3">
        <v>0</v>
      </c>
      <c r="L14" s="3">
        <f t="shared" si="0"/>
        <v>0</v>
      </c>
      <c r="M14" s="4"/>
      <c r="N14" s="3">
        <v>150</v>
      </c>
      <c r="O14" s="3"/>
      <c r="P14" s="3" t="s">
        <v>175</v>
      </c>
      <c r="Q14" s="3">
        <v>150</v>
      </c>
    </row>
    <row r="15" spans="1:18" outlineLevel="3" x14ac:dyDescent="0.25">
      <c r="A15" s="2"/>
      <c r="B15" s="2"/>
      <c r="C15" s="2" t="s">
        <v>15</v>
      </c>
      <c r="D15" s="2"/>
      <c r="E15" s="2"/>
      <c r="F15" s="3">
        <v>0</v>
      </c>
      <c r="G15" s="3">
        <v>150</v>
      </c>
      <c r="H15" s="3">
        <f>ROUND((F15-G15),5)</f>
        <v>-150</v>
      </c>
      <c r="I15" s="4"/>
      <c r="J15" s="3">
        <v>0</v>
      </c>
      <c r="K15" s="3">
        <v>150</v>
      </c>
      <c r="L15" s="3">
        <f t="shared" si="0"/>
        <v>-150</v>
      </c>
      <c r="M15" s="4"/>
      <c r="N15" s="3">
        <v>0</v>
      </c>
      <c r="O15" s="3"/>
      <c r="P15" s="3" t="s">
        <v>174</v>
      </c>
      <c r="Q15" s="3">
        <v>0</v>
      </c>
    </row>
    <row r="16" spans="1:18" hidden="1" outlineLevel="3" x14ac:dyDescent="0.25">
      <c r="A16" s="2"/>
      <c r="B16" s="2"/>
      <c r="C16" s="2" t="s">
        <v>16</v>
      </c>
      <c r="D16" s="2"/>
      <c r="E16" s="2"/>
      <c r="F16" s="3">
        <v>0</v>
      </c>
      <c r="G16" s="3"/>
      <c r="H16" s="3"/>
      <c r="I16" s="4"/>
      <c r="J16" s="3">
        <v>0</v>
      </c>
      <c r="K16" s="3">
        <v>0</v>
      </c>
      <c r="L16" s="3">
        <f t="shared" si="0"/>
        <v>0</v>
      </c>
      <c r="M16" s="4"/>
      <c r="N16" s="3"/>
      <c r="O16" s="3"/>
      <c r="P16" s="3"/>
      <c r="Q16" s="3"/>
    </row>
    <row r="17" spans="1:18" ht="15.75" outlineLevel="3" thickBot="1" x14ac:dyDescent="0.3">
      <c r="A17" s="2"/>
      <c r="B17" s="2"/>
      <c r="C17" s="2" t="s">
        <v>17</v>
      </c>
      <c r="D17" s="2"/>
      <c r="E17" s="2"/>
      <c r="F17" s="5">
        <v>350</v>
      </c>
      <c r="G17" s="5">
        <v>0</v>
      </c>
      <c r="H17" s="5">
        <f>ROUND((F17-G17),5)</f>
        <v>350</v>
      </c>
      <c r="I17" s="4"/>
      <c r="J17" s="5">
        <v>0</v>
      </c>
      <c r="K17" s="5">
        <v>0</v>
      </c>
      <c r="L17" s="5">
        <f t="shared" si="0"/>
        <v>0</v>
      </c>
      <c r="M17" s="4"/>
      <c r="N17" s="3">
        <v>250</v>
      </c>
      <c r="O17" s="3"/>
      <c r="P17" s="3" t="s">
        <v>176</v>
      </c>
      <c r="Q17" s="3">
        <v>250</v>
      </c>
    </row>
    <row r="18" spans="1:18" ht="15.75" hidden="1" outlineLevel="3" thickBot="1" x14ac:dyDescent="0.3">
      <c r="A18" s="2"/>
      <c r="B18" s="2"/>
      <c r="C18" s="2" t="s">
        <v>18</v>
      </c>
      <c r="D18" s="2"/>
      <c r="E18" s="2"/>
      <c r="F18" s="5">
        <v>0</v>
      </c>
      <c r="G18" s="5"/>
      <c r="H18" s="5"/>
      <c r="I18" s="4"/>
      <c r="J18" s="5">
        <v>0</v>
      </c>
      <c r="K18" s="5">
        <v>0</v>
      </c>
      <c r="L18" s="5">
        <f t="shared" si="0"/>
        <v>0</v>
      </c>
      <c r="M18" s="4"/>
      <c r="N18" s="5"/>
      <c r="O18" s="5"/>
      <c r="P18" s="5"/>
      <c r="Q18" s="5"/>
    </row>
    <row r="19" spans="1:18" outlineLevel="2" x14ac:dyDescent="0.25">
      <c r="A19" s="2"/>
      <c r="B19" s="2" t="s">
        <v>19</v>
      </c>
      <c r="C19" s="2"/>
      <c r="D19" s="2"/>
      <c r="E19" s="2"/>
      <c r="F19" s="6">
        <f>ROUND(SUM(F12:F18),5)</f>
        <v>1095</v>
      </c>
      <c r="G19" s="3">
        <f>ROUND(SUM(G12:G18),5)</f>
        <v>900</v>
      </c>
      <c r="H19" s="3">
        <f>ROUND((F19-G19),5)</f>
        <v>195</v>
      </c>
      <c r="I19" s="4"/>
      <c r="J19" s="3">
        <f>ROUND(SUM(J12:J18),5)</f>
        <v>205</v>
      </c>
      <c r="K19" s="3">
        <f>ROUND(SUM(K12:K18),5)</f>
        <v>750</v>
      </c>
      <c r="L19" s="3">
        <f t="shared" si="0"/>
        <v>-545</v>
      </c>
      <c r="M19" s="4"/>
      <c r="N19" s="7">
        <f>ROUND(SUM(N12:N18),5)</f>
        <v>1000</v>
      </c>
      <c r="O19" s="3"/>
      <c r="P19" s="3"/>
      <c r="Q19" s="7">
        <f>ROUND(SUM(Q12:Q18),5)</f>
        <v>1000</v>
      </c>
    </row>
    <row r="20" spans="1:18" ht="15.75" outlineLevel="2" thickBot="1" x14ac:dyDescent="0.3">
      <c r="A20" s="2"/>
      <c r="B20" s="2" t="s">
        <v>20</v>
      </c>
      <c r="C20" s="2"/>
      <c r="D20" s="2"/>
      <c r="E20" s="2"/>
      <c r="F20" s="5">
        <v>2250</v>
      </c>
      <c r="G20" s="5">
        <v>2000</v>
      </c>
      <c r="H20" s="5">
        <f>ROUND((F20-G20),5)</f>
        <v>250</v>
      </c>
      <c r="I20" s="4"/>
      <c r="J20" s="5">
        <v>2200</v>
      </c>
      <c r="K20" s="5">
        <v>2000</v>
      </c>
      <c r="L20" s="5">
        <f t="shared" si="0"/>
        <v>200</v>
      </c>
      <c r="M20" s="4"/>
      <c r="N20" s="26">
        <v>2800</v>
      </c>
      <c r="O20" s="61"/>
      <c r="P20" s="3" t="s">
        <v>202</v>
      </c>
      <c r="Q20" s="77">
        <v>2800</v>
      </c>
    </row>
    <row r="21" spans="1:18" s="20" customFormat="1" ht="18" customHeight="1" outlineLevel="1" x14ac:dyDescent="0.2">
      <c r="A21" s="14" t="s">
        <v>21</v>
      </c>
      <c r="B21" s="14"/>
      <c r="C21" s="14"/>
      <c r="D21" s="14"/>
      <c r="E21" s="14"/>
      <c r="F21" s="22">
        <f>ROUND(SUM(F3:F5)+SUM(F9:F11)+SUM(F19:F20),5)</f>
        <v>68127.88</v>
      </c>
      <c r="G21" s="22">
        <f>ROUND(SUM(G3:G5)+SUM(G9:G11)+SUM(G19:G20),5)</f>
        <v>65335</v>
      </c>
      <c r="H21" s="22">
        <f>ROUND((F21-G21),5)</f>
        <v>2792.88</v>
      </c>
      <c r="I21" s="14"/>
      <c r="J21" s="22">
        <f>ROUND(SUM(J3:J5)+SUM(J9:J11)+SUM(J19:J20),5)</f>
        <v>68883.990000000005</v>
      </c>
      <c r="K21" s="22">
        <f>ROUND(SUM(K3:K5)+SUM(K9:K11)+SUM(K19:K20),5)</f>
        <v>68055</v>
      </c>
      <c r="L21" s="22">
        <f t="shared" si="0"/>
        <v>828.99</v>
      </c>
      <c r="M21" s="14"/>
      <c r="N21" s="22">
        <f>ROUND(SUM(N3:N5)+SUM(N9:N11)+SUM(N19:N20),5)</f>
        <v>76970.108500000002</v>
      </c>
      <c r="O21" s="22"/>
      <c r="P21" s="22"/>
      <c r="Q21" s="22">
        <f>ROUND(SUM(Q3:Q5)+SUM(Q9:Q11)+SUM(Q19:Q20),5)</f>
        <v>76970</v>
      </c>
      <c r="R21" s="84"/>
    </row>
    <row r="22" spans="1:18" ht="21" customHeight="1" outlineLevel="2" x14ac:dyDescent="0.25">
      <c r="A22" s="14" t="s">
        <v>22</v>
      </c>
      <c r="B22" s="2"/>
      <c r="C22" s="2"/>
      <c r="D22" s="2"/>
      <c r="E22" s="2"/>
      <c r="F22" s="3"/>
      <c r="G22" s="3"/>
      <c r="H22" s="3"/>
      <c r="I22" s="4"/>
      <c r="J22" s="3"/>
      <c r="K22" s="3"/>
      <c r="L22" s="3"/>
      <c r="M22" s="4"/>
      <c r="N22" s="3"/>
      <c r="O22" s="3"/>
      <c r="P22" s="3"/>
      <c r="Q22" s="3"/>
    </row>
    <row r="23" spans="1:18" outlineLevel="3" x14ac:dyDescent="0.25">
      <c r="A23" s="2"/>
      <c r="B23" s="2" t="s">
        <v>23</v>
      </c>
      <c r="C23" s="2"/>
      <c r="D23" s="2"/>
      <c r="E23" s="2"/>
      <c r="F23" s="3"/>
      <c r="G23" s="3"/>
      <c r="H23" s="3"/>
      <c r="I23" s="4"/>
      <c r="J23" s="3"/>
      <c r="K23" s="3"/>
      <c r="L23" s="3"/>
      <c r="M23" s="4"/>
      <c r="N23" s="3"/>
      <c r="O23" s="3"/>
      <c r="P23" s="3"/>
      <c r="Q23" s="3"/>
    </row>
    <row r="24" spans="1:18" outlineLevel="3" x14ac:dyDescent="0.25">
      <c r="A24" s="2"/>
      <c r="B24" s="2"/>
      <c r="C24" s="2" t="s">
        <v>24</v>
      </c>
      <c r="D24" s="2"/>
      <c r="E24" s="2"/>
      <c r="F24" s="3">
        <v>10560</v>
      </c>
      <c r="G24" s="3">
        <v>10560</v>
      </c>
      <c r="H24" s="3">
        <f t="shared" ref="H24:H32" si="1">ROUND((F24-G24),5)</f>
        <v>0</v>
      </c>
      <c r="I24" s="4"/>
      <c r="J24" s="3">
        <v>9680</v>
      </c>
      <c r="K24" s="3">
        <v>10560</v>
      </c>
      <c r="L24" s="3">
        <f t="shared" ref="L24:L34" si="2">ROUND((J24-K24),5)</f>
        <v>-880</v>
      </c>
      <c r="M24" s="4"/>
      <c r="N24" s="24">
        <f>910*12</f>
        <v>10920</v>
      </c>
      <c r="O24" s="3" t="s">
        <v>131</v>
      </c>
      <c r="P24" s="3" t="s">
        <v>160</v>
      </c>
      <c r="Q24" s="57">
        <f>910*12</f>
        <v>10920</v>
      </c>
    </row>
    <row r="25" spans="1:18" ht="23.25" outlineLevel="3" x14ac:dyDescent="0.25">
      <c r="A25" s="2"/>
      <c r="B25" s="2"/>
      <c r="C25" s="2" t="s">
        <v>25</v>
      </c>
      <c r="D25" s="2"/>
      <c r="E25" s="2"/>
      <c r="F25" s="3">
        <v>1936.19</v>
      </c>
      <c r="G25" s="3">
        <v>2028</v>
      </c>
      <c r="H25" s="3">
        <f t="shared" si="1"/>
        <v>-91.81</v>
      </c>
      <c r="I25" s="4"/>
      <c r="J25" s="3">
        <v>-41.81</v>
      </c>
      <c r="K25" s="3">
        <v>1870</v>
      </c>
      <c r="L25" s="3">
        <f t="shared" si="2"/>
        <v>-1911.81</v>
      </c>
      <c r="M25" s="4"/>
      <c r="N25" s="57">
        <v>1520</v>
      </c>
      <c r="O25" s="3" t="s">
        <v>131</v>
      </c>
      <c r="P25" s="3" t="s">
        <v>201</v>
      </c>
      <c r="Q25" s="57">
        <v>1520</v>
      </c>
      <c r="R25" s="95" t="s">
        <v>258</v>
      </c>
    </row>
    <row r="26" spans="1:18" outlineLevel="3" x14ac:dyDescent="0.25">
      <c r="A26" s="2"/>
      <c r="B26" s="2"/>
      <c r="C26" s="2" t="s">
        <v>26</v>
      </c>
      <c r="D26" s="2"/>
      <c r="E26" s="2"/>
      <c r="F26" s="3">
        <v>200</v>
      </c>
      <c r="G26" s="3">
        <v>200</v>
      </c>
      <c r="H26" s="3">
        <f t="shared" si="1"/>
        <v>0</v>
      </c>
      <c r="I26" s="4"/>
      <c r="J26" s="3">
        <v>0</v>
      </c>
      <c r="K26" s="3">
        <v>250</v>
      </c>
      <c r="L26" s="3">
        <f t="shared" si="2"/>
        <v>-250</v>
      </c>
      <c r="M26" s="4"/>
      <c r="N26" s="3">
        <v>250</v>
      </c>
      <c r="O26" s="3" t="s">
        <v>131</v>
      </c>
      <c r="P26" s="3" t="s">
        <v>132</v>
      </c>
      <c r="Q26" s="3">
        <v>250</v>
      </c>
    </row>
    <row r="27" spans="1:18" outlineLevel="3" x14ac:dyDescent="0.25">
      <c r="A27" s="2"/>
      <c r="B27" s="2"/>
      <c r="C27" s="2" t="s">
        <v>27</v>
      </c>
      <c r="D27" s="2"/>
      <c r="E27" s="2"/>
      <c r="F27" s="3">
        <v>167.65</v>
      </c>
      <c r="G27" s="3">
        <v>175</v>
      </c>
      <c r="H27" s="3">
        <f t="shared" si="1"/>
        <v>-7.35</v>
      </c>
      <c r="I27" s="4"/>
      <c r="J27" s="3">
        <v>78.05</v>
      </c>
      <c r="K27" s="3">
        <v>125</v>
      </c>
      <c r="L27" s="3">
        <f t="shared" si="2"/>
        <v>-46.95</v>
      </c>
      <c r="M27" s="4"/>
      <c r="N27" s="3">
        <v>40</v>
      </c>
      <c r="O27" s="3" t="s">
        <v>131</v>
      </c>
      <c r="P27" s="3" t="s">
        <v>133</v>
      </c>
      <c r="Q27" s="3">
        <v>40</v>
      </c>
    </row>
    <row r="28" spans="1:18" outlineLevel="3" x14ac:dyDescent="0.25">
      <c r="A28" s="2"/>
      <c r="B28" s="2"/>
      <c r="C28" s="2" t="s">
        <v>28</v>
      </c>
      <c r="D28" s="2"/>
      <c r="E28" s="2"/>
      <c r="F28" s="3">
        <v>635.96</v>
      </c>
      <c r="G28" s="3">
        <v>500</v>
      </c>
      <c r="H28" s="3">
        <f t="shared" si="1"/>
        <v>135.96</v>
      </c>
      <c r="I28" s="4"/>
      <c r="J28" s="3">
        <v>243.5</v>
      </c>
      <c r="K28" s="3">
        <v>600</v>
      </c>
      <c r="L28" s="3">
        <f t="shared" si="2"/>
        <v>-356.5</v>
      </c>
      <c r="M28" s="4"/>
      <c r="N28" s="3">
        <v>600</v>
      </c>
      <c r="O28" s="3" t="s">
        <v>131</v>
      </c>
      <c r="P28" s="3" t="s">
        <v>162</v>
      </c>
      <c r="Q28" s="3">
        <v>600</v>
      </c>
    </row>
    <row r="29" spans="1:18" outlineLevel="3" x14ac:dyDescent="0.25">
      <c r="A29" s="2"/>
      <c r="B29" s="2"/>
      <c r="C29" s="2" t="s">
        <v>29</v>
      </c>
      <c r="D29" s="2"/>
      <c r="E29" s="2"/>
      <c r="F29" s="3">
        <v>345.45</v>
      </c>
      <c r="G29" s="3">
        <v>340</v>
      </c>
      <c r="H29" s="3">
        <f t="shared" si="1"/>
        <v>5.45</v>
      </c>
      <c r="I29" s="4"/>
      <c r="J29" s="3">
        <v>-12.29</v>
      </c>
      <c r="K29" s="3">
        <v>0</v>
      </c>
      <c r="L29" s="3">
        <f t="shared" si="2"/>
        <v>-12.29</v>
      </c>
      <c r="M29" s="4"/>
      <c r="N29" s="3">
        <v>0</v>
      </c>
      <c r="O29" s="3" t="s">
        <v>131</v>
      </c>
      <c r="P29" s="3" t="s">
        <v>178</v>
      </c>
      <c r="Q29" s="3">
        <v>0</v>
      </c>
    </row>
    <row r="30" spans="1:18" hidden="1" outlineLevel="3" x14ac:dyDescent="0.25">
      <c r="A30" s="2"/>
      <c r="B30" s="2"/>
      <c r="C30" s="2" t="s">
        <v>30</v>
      </c>
      <c r="D30" s="2"/>
      <c r="E30" s="2"/>
      <c r="F30" s="3">
        <v>0</v>
      </c>
      <c r="G30" s="3">
        <v>0</v>
      </c>
      <c r="H30" s="3">
        <f t="shared" si="1"/>
        <v>0</v>
      </c>
      <c r="I30" s="4"/>
      <c r="J30" s="3">
        <v>0</v>
      </c>
      <c r="K30" s="3">
        <v>0</v>
      </c>
      <c r="L30" s="3">
        <f t="shared" si="2"/>
        <v>0</v>
      </c>
      <c r="M30" s="4"/>
      <c r="N30" s="3"/>
      <c r="O30" s="3"/>
      <c r="P30" s="3"/>
      <c r="Q30" s="3"/>
    </row>
    <row r="31" spans="1:18" outlineLevel="3" x14ac:dyDescent="0.25">
      <c r="A31" s="2"/>
      <c r="B31" s="2"/>
      <c r="C31" s="2" t="s">
        <v>31</v>
      </c>
      <c r="D31" s="2"/>
      <c r="E31" s="2"/>
      <c r="F31" s="3">
        <v>600</v>
      </c>
      <c r="G31" s="3">
        <v>600</v>
      </c>
      <c r="H31" s="3">
        <f t="shared" si="1"/>
        <v>0</v>
      </c>
      <c r="I31" s="4"/>
      <c r="J31" s="3">
        <v>550</v>
      </c>
      <c r="K31" s="3">
        <v>600</v>
      </c>
      <c r="L31" s="3">
        <f t="shared" si="2"/>
        <v>-50</v>
      </c>
      <c r="M31" s="4"/>
      <c r="N31" s="3">
        <v>600</v>
      </c>
      <c r="O31" s="3" t="s">
        <v>131</v>
      </c>
      <c r="P31" s="3" t="s">
        <v>205</v>
      </c>
      <c r="Q31" s="3">
        <v>600</v>
      </c>
    </row>
    <row r="32" spans="1:18" ht="15.75" outlineLevel="3" thickBot="1" x14ac:dyDescent="0.3">
      <c r="A32" s="2"/>
      <c r="B32" s="2"/>
      <c r="C32" s="2" t="s">
        <v>32</v>
      </c>
      <c r="D32" s="2"/>
      <c r="E32" s="2"/>
      <c r="F32" s="3">
        <v>396.17</v>
      </c>
      <c r="G32" s="3">
        <v>384</v>
      </c>
      <c r="H32" s="3">
        <f t="shared" si="1"/>
        <v>12.17</v>
      </c>
      <c r="I32" s="4"/>
      <c r="J32" s="5">
        <v>332.2</v>
      </c>
      <c r="K32" s="5">
        <v>384</v>
      </c>
      <c r="L32" s="5">
        <f t="shared" si="2"/>
        <v>-51.8</v>
      </c>
      <c r="M32" s="4"/>
      <c r="N32" s="5">
        <f>32*12</f>
        <v>384</v>
      </c>
      <c r="O32" s="3" t="s">
        <v>131</v>
      </c>
      <c r="P32" s="3" t="s">
        <v>134</v>
      </c>
      <c r="Q32" s="5">
        <v>384</v>
      </c>
    </row>
    <row r="33" spans="1:18" ht="15.75" hidden="1" outlineLevel="3" thickBot="1" x14ac:dyDescent="0.3">
      <c r="A33" s="2"/>
      <c r="B33" s="2"/>
      <c r="C33" s="2" t="s">
        <v>33</v>
      </c>
      <c r="D33" s="2"/>
      <c r="E33" s="2"/>
      <c r="F33" s="5">
        <v>0</v>
      </c>
      <c r="G33" s="5"/>
      <c r="H33" s="5"/>
      <c r="I33" s="4"/>
      <c r="J33" s="5">
        <v>0</v>
      </c>
      <c r="K33" s="5">
        <v>0</v>
      </c>
      <c r="L33" s="5">
        <f t="shared" si="2"/>
        <v>0</v>
      </c>
      <c r="M33" s="4"/>
      <c r="N33" s="5"/>
      <c r="O33" s="5"/>
      <c r="P33" s="5"/>
      <c r="Q33" s="5"/>
    </row>
    <row r="34" spans="1:18" outlineLevel="2" x14ac:dyDescent="0.25">
      <c r="A34" s="2"/>
      <c r="B34" s="2" t="s">
        <v>34</v>
      </c>
      <c r="C34" s="2"/>
      <c r="D34" s="2"/>
      <c r="E34" s="2"/>
      <c r="F34" s="7">
        <f>ROUND(SUM(F23:F33),5)</f>
        <v>14841.42</v>
      </c>
      <c r="G34" s="7">
        <f>ROUND(SUM(G23:G33),5)</f>
        <v>14787</v>
      </c>
      <c r="H34" s="7">
        <f>ROUND((F34-G34),5)</f>
        <v>54.42</v>
      </c>
      <c r="I34" s="4"/>
      <c r="J34" s="3">
        <f>ROUND(SUM(J23:J33),5)</f>
        <v>10829.65</v>
      </c>
      <c r="K34" s="3">
        <f>ROUND(SUM(K23:K33),5)</f>
        <v>14389</v>
      </c>
      <c r="L34" s="3">
        <f t="shared" si="2"/>
        <v>-3559.35</v>
      </c>
      <c r="M34" s="4"/>
      <c r="N34" s="3">
        <f>ROUND(SUM(N23:N33),5)</f>
        <v>14314</v>
      </c>
      <c r="O34" s="3"/>
      <c r="P34" s="3"/>
      <c r="Q34" s="3">
        <f>ROUND(SUM(Q23:Q33),5)</f>
        <v>14314</v>
      </c>
    </row>
    <row r="35" spans="1:18" outlineLevel="3" x14ac:dyDescent="0.25">
      <c r="A35" s="2"/>
      <c r="B35" s="2" t="s">
        <v>35</v>
      </c>
      <c r="C35" s="2"/>
      <c r="D35" s="2"/>
      <c r="E35" s="2"/>
      <c r="F35" s="3"/>
      <c r="G35" s="3"/>
      <c r="H35" s="3"/>
      <c r="I35" s="4"/>
      <c r="J35" s="3"/>
      <c r="K35" s="3"/>
      <c r="L35" s="3"/>
      <c r="M35" s="4"/>
      <c r="N35" s="3"/>
      <c r="O35" s="3"/>
      <c r="P35" s="3"/>
      <c r="Q35" s="3"/>
    </row>
    <row r="36" spans="1:18" outlineLevel="3" x14ac:dyDescent="0.25">
      <c r="A36" s="2"/>
      <c r="B36" s="2"/>
      <c r="C36" s="2" t="s">
        <v>36</v>
      </c>
      <c r="D36" s="2"/>
      <c r="E36" s="2"/>
      <c r="F36" s="3">
        <v>60</v>
      </c>
      <c r="G36" s="3">
        <v>200</v>
      </c>
      <c r="H36" s="3">
        <f>ROUND((F36-G36),5)</f>
        <v>-140</v>
      </c>
      <c r="I36" s="4"/>
      <c r="J36" s="3">
        <v>0</v>
      </c>
      <c r="K36" s="3">
        <v>100</v>
      </c>
      <c r="L36" s="3">
        <f>ROUND((J36-K36),5)</f>
        <v>-100</v>
      </c>
      <c r="M36" s="4"/>
      <c r="N36" s="24">
        <v>100</v>
      </c>
      <c r="O36" s="25" t="s">
        <v>209</v>
      </c>
      <c r="P36" s="3" t="s">
        <v>206</v>
      </c>
      <c r="Q36" s="3">
        <v>100</v>
      </c>
    </row>
    <row r="37" spans="1:18" ht="46.5" outlineLevel="3" thickBot="1" x14ac:dyDescent="0.3">
      <c r="A37" s="2"/>
      <c r="B37" s="2"/>
      <c r="C37" s="2" t="s">
        <v>37</v>
      </c>
      <c r="D37" s="2"/>
      <c r="E37" s="2"/>
      <c r="F37" s="5">
        <v>828.56</v>
      </c>
      <c r="G37" s="5">
        <v>1275</v>
      </c>
      <c r="H37" s="5">
        <f>ROUND((F37-G37),5)</f>
        <v>-446.44</v>
      </c>
      <c r="I37" s="4"/>
      <c r="J37" s="5">
        <v>750</v>
      </c>
      <c r="K37" s="5">
        <v>1075</v>
      </c>
      <c r="L37" s="5">
        <f>ROUND((J37-K37),5)</f>
        <v>-325</v>
      </c>
      <c r="M37" s="4"/>
      <c r="N37" s="58">
        <f>275+650</f>
        <v>925</v>
      </c>
      <c r="O37" s="61" t="s">
        <v>209</v>
      </c>
      <c r="P37" s="60" t="s">
        <v>219</v>
      </c>
      <c r="Q37" s="5">
        <v>925</v>
      </c>
      <c r="R37" s="94" t="s">
        <v>241</v>
      </c>
    </row>
    <row r="38" spans="1:18" outlineLevel="2" x14ac:dyDescent="0.25">
      <c r="A38" s="2"/>
      <c r="B38" s="2" t="s">
        <v>38</v>
      </c>
      <c r="C38" s="2"/>
      <c r="D38" s="2"/>
      <c r="E38" s="2"/>
      <c r="F38" s="3">
        <f>ROUND(SUM(F35:F37),5)</f>
        <v>888.56</v>
      </c>
      <c r="G38" s="3">
        <f>ROUND(SUM(G35:G37),5)</f>
        <v>1475</v>
      </c>
      <c r="H38" s="3">
        <f>ROUND((F38-G38),5)</f>
        <v>-586.44000000000005</v>
      </c>
      <c r="I38" s="4"/>
      <c r="J38" s="3">
        <f>ROUND(SUM(J35:J37),5)</f>
        <v>750</v>
      </c>
      <c r="K38" s="3">
        <f>ROUND(SUM(K35:K37),5)</f>
        <v>1175</v>
      </c>
      <c r="L38" s="3">
        <f>ROUND((J38-K38),5)</f>
        <v>-425</v>
      </c>
      <c r="M38" s="4"/>
      <c r="N38" s="3">
        <f>ROUND(SUM(N35:N37),5)</f>
        <v>1025</v>
      </c>
      <c r="O38" s="3"/>
      <c r="P38" s="3"/>
      <c r="Q38" s="3">
        <f>ROUND(SUM(Q35:Q37),5)</f>
        <v>1025</v>
      </c>
    </row>
    <row r="39" spans="1:18" outlineLevel="3" x14ac:dyDescent="0.25">
      <c r="A39" s="2"/>
      <c r="B39" s="2" t="s">
        <v>39</v>
      </c>
      <c r="C39" s="2"/>
      <c r="D39" s="2"/>
      <c r="E39" s="2"/>
      <c r="F39" s="3"/>
      <c r="G39" s="3"/>
      <c r="H39" s="3"/>
      <c r="I39" s="4"/>
      <c r="J39" s="3"/>
      <c r="K39" s="3"/>
      <c r="L39" s="3"/>
      <c r="M39" s="4"/>
      <c r="N39" s="3"/>
      <c r="O39" s="3"/>
      <c r="P39" s="3"/>
      <c r="Q39" s="3"/>
    </row>
    <row r="40" spans="1:18" outlineLevel="4" x14ac:dyDescent="0.25">
      <c r="A40" s="2"/>
      <c r="B40" s="2"/>
      <c r="C40" s="2" t="s">
        <v>40</v>
      </c>
      <c r="D40" s="2"/>
      <c r="E40" s="2"/>
      <c r="F40" s="3"/>
      <c r="G40" s="3"/>
      <c r="H40" s="3"/>
      <c r="I40" s="4"/>
      <c r="J40" s="3"/>
      <c r="K40" s="3"/>
      <c r="L40" s="3"/>
      <c r="M40" s="4"/>
      <c r="N40" s="3"/>
      <c r="O40" s="3"/>
      <c r="P40" s="3"/>
      <c r="Q40" s="3"/>
    </row>
    <row r="41" spans="1:18" outlineLevel="4" x14ac:dyDescent="0.25">
      <c r="A41" s="2"/>
      <c r="B41" s="2"/>
      <c r="C41" s="2"/>
      <c r="D41" s="2" t="s">
        <v>41</v>
      </c>
      <c r="E41" s="2"/>
      <c r="F41" s="3">
        <v>144.82</v>
      </c>
      <c r="G41" s="3">
        <v>1260</v>
      </c>
      <c r="H41" s="3">
        <f>ROUND((F41-G41),5)</f>
        <v>-1115.18</v>
      </c>
      <c r="I41" s="4"/>
      <c r="J41" s="3">
        <v>900.4</v>
      </c>
      <c r="K41" s="3">
        <v>968</v>
      </c>
      <c r="L41" s="3">
        <f>ROUND((J41-K41),5)</f>
        <v>-67.599999999999994</v>
      </c>
      <c r="M41" s="4"/>
      <c r="N41" s="24">
        <v>950</v>
      </c>
      <c r="O41" s="3"/>
      <c r="P41" s="3" t="s">
        <v>179</v>
      </c>
      <c r="Q41" s="3"/>
    </row>
    <row r="42" spans="1:18" outlineLevel="4" x14ac:dyDescent="0.25">
      <c r="A42" s="2"/>
      <c r="B42" s="2"/>
      <c r="C42" s="2"/>
      <c r="D42" s="2" t="s">
        <v>42</v>
      </c>
      <c r="E42" s="2"/>
      <c r="F42" s="3">
        <v>59.61</v>
      </c>
      <c r="G42" s="3">
        <v>520</v>
      </c>
      <c r="H42" s="3">
        <f>ROUND((F42-G42),5)</f>
        <v>-460.39</v>
      </c>
      <c r="I42" s="4"/>
      <c r="J42" s="3">
        <f>40+28.65</f>
        <v>68.650000000000006</v>
      </c>
      <c r="K42" s="3">
        <v>100</v>
      </c>
      <c r="L42" s="3">
        <f>ROUND((J42-K42),5)</f>
        <v>-31.35</v>
      </c>
      <c r="M42" s="4"/>
      <c r="N42" s="24">
        <v>100</v>
      </c>
      <c r="O42" s="3"/>
      <c r="P42" s="3" t="s">
        <v>179</v>
      </c>
      <c r="Q42" s="3"/>
    </row>
    <row r="43" spans="1:18" ht="15.75" outlineLevel="4" thickBot="1" x14ac:dyDescent="0.3">
      <c r="A43" s="2"/>
      <c r="B43" s="2"/>
      <c r="C43" s="2"/>
      <c r="D43" s="2" t="s">
        <v>43</v>
      </c>
      <c r="E43" s="2"/>
      <c r="F43" s="5">
        <v>409.6</v>
      </c>
      <c r="G43" s="5">
        <v>1771</v>
      </c>
      <c r="H43" s="5">
        <f>ROUND((F43-G43),5)</f>
        <v>-1361.4</v>
      </c>
      <c r="I43" s="4"/>
      <c r="J43" s="5">
        <v>745.15</v>
      </c>
      <c r="K43" s="5">
        <v>1650</v>
      </c>
      <c r="L43" s="5">
        <f>ROUND((J43-K43),5)</f>
        <v>-904.85</v>
      </c>
      <c r="M43" s="4"/>
      <c r="N43" s="58">
        <v>800</v>
      </c>
      <c r="O43" s="3"/>
      <c r="P43" s="3" t="s">
        <v>179</v>
      </c>
      <c r="Q43" s="5"/>
    </row>
    <row r="44" spans="1:18" ht="15.75" hidden="1" outlineLevel="4" thickBot="1" x14ac:dyDescent="0.3">
      <c r="A44" s="2"/>
      <c r="B44" s="2"/>
      <c r="C44" s="2"/>
      <c r="D44" s="2" t="s">
        <v>44</v>
      </c>
      <c r="E44" s="2"/>
      <c r="F44" s="5">
        <v>0</v>
      </c>
      <c r="G44" s="5"/>
      <c r="H44" s="5"/>
      <c r="I44" s="4"/>
      <c r="J44" s="5">
        <v>0</v>
      </c>
      <c r="K44" s="5">
        <v>0</v>
      </c>
      <c r="L44" s="5">
        <f>ROUND((J44-K44),5)</f>
        <v>0</v>
      </c>
      <c r="M44" s="4"/>
      <c r="N44" s="5"/>
      <c r="O44" s="5"/>
      <c r="P44" s="5"/>
      <c r="Q44" s="5"/>
    </row>
    <row r="45" spans="1:18" ht="23.25" outlineLevel="3" x14ac:dyDescent="0.25">
      <c r="A45" s="2"/>
      <c r="B45" s="2"/>
      <c r="C45" s="2" t="s">
        <v>45</v>
      </c>
      <c r="D45" s="2"/>
      <c r="E45" s="2"/>
      <c r="F45" s="3">
        <f>ROUND(SUM(F40:F44),5)</f>
        <v>614.03</v>
      </c>
      <c r="G45" s="3">
        <f>ROUND(SUM(G40:G44),5)</f>
        <v>3551</v>
      </c>
      <c r="H45" s="3">
        <f>ROUND((F45-G45),5)</f>
        <v>-2936.97</v>
      </c>
      <c r="I45" s="4"/>
      <c r="J45" s="3">
        <f>ROUND(SUM(J40:J44),5)</f>
        <v>1714.2</v>
      </c>
      <c r="K45" s="3">
        <f>ROUND(SUM(K40:K44),5)</f>
        <v>2718</v>
      </c>
      <c r="L45" s="3">
        <f>ROUND((J45-K45),5)</f>
        <v>-1003.8</v>
      </c>
      <c r="M45" s="4"/>
      <c r="N45" s="3">
        <f>ROUND(SUM(N40:N44),5)</f>
        <v>1850</v>
      </c>
      <c r="O45" s="3"/>
      <c r="P45" s="3"/>
      <c r="Q45" s="3">
        <v>0</v>
      </c>
      <c r="R45" s="95" t="s">
        <v>263</v>
      </c>
    </row>
    <row r="46" spans="1:18" outlineLevel="4" x14ac:dyDescent="0.25">
      <c r="A46" s="2"/>
      <c r="B46" s="2"/>
      <c r="C46" s="2" t="s">
        <v>46</v>
      </c>
      <c r="D46" s="2"/>
      <c r="E46" s="2"/>
      <c r="F46" s="3"/>
      <c r="G46" s="3"/>
      <c r="H46" s="3"/>
      <c r="I46" s="4"/>
      <c r="J46" s="3"/>
      <c r="K46" s="3"/>
      <c r="L46" s="3"/>
      <c r="M46" s="4"/>
      <c r="N46" s="3"/>
      <c r="O46" s="3"/>
      <c r="P46" s="3"/>
      <c r="Q46" s="3"/>
    </row>
    <row r="47" spans="1:18" outlineLevel="4" x14ac:dyDescent="0.25">
      <c r="A47" s="2"/>
      <c r="B47" s="2"/>
      <c r="C47" s="2"/>
      <c r="D47" s="2" t="s">
        <v>47</v>
      </c>
      <c r="E47" s="2"/>
      <c r="F47" s="3">
        <v>337.04</v>
      </c>
      <c r="G47" s="3">
        <v>455</v>
      </c>
      <c r="H47" s="3">
        <f>ROUND((F47-G47),5)</f>
        <v>-117.96</v>
      </c>
      <c r="I47" s="4"/>
      <c r="J47" s="3">
        <v>237.38</v>
      </c>
      <c r="K47" s="3">
        <v>400</v>
      </c>
      <c r="L47" s="3">
        <f t="shared" ref="L47:L57" si="3">ROUND((J47-K47),5)</f>
        <v>-162.62</v>
      </c>
      <c r="M47" s="4"/>
      <c r="N47" s="3">
        <v>300</v>
      </c>
      <c r="O47" s="3"/>
      <c r="P47" s="3" t="s">
        <v>180</v>
      </c>
      <c r="Q47" s="3"/>
    </row>
    <row r="48" spans="1:18" outlineLevel="4" x14ac:dyDescent="0.25">
      <c r="A48" s="2"/>
      <c r="B48" s="2"/>
      <c r="C48" s="2"/>
      <c r="D48" s="2" t="s">
        <v>41</v>
      </c>
      <c r="E48" s="2"/>
      <c r="F48" s="3">
        <v>129.25</v>
      </c>
      <c r="G48" s="3">
        <v>420</v>
      </c>
      <c r="H48" s="3">
        <f>ROUND((F48-G48),5)</f>
        <v>-290.75</v>
      </c>
      <c r="I48" s="4"/>
      <c r="J48" s="3">
        <v>0</v>
      </c>
      <c r="K48" s="3">
        <v>880</v>
      </c>
      <c r="L48" s="3">
        <f t="shared" si="3"/>
        <v>-880</v>
      </c>
      <c r="M48" s="4"/>
      <c r="N48" s="3">
        <v>0</v>
      </c>
      <c r="O48" s="3"/>
      <c r="P48" s="3" t="s">
        <v>185</v>
      </c>
      <c r="Q48" s="3">
        <v>1408</v>
      </c>
    </row>
    <row r="49" spans="1:18" outlineLevel="4" x14ac:dyDescent="0.25">
      <c r="A49" s="2"/>
      <c r="B49" s="2"/>
      <c r="C49" s="2"/>
      <c r="D49" s="2" t="s">
        <v>42</v>
      </c>
      <c r="E49" s="2"/>
      <c r="F49" s="3">
        <v>22.41</v>
      </c>
      <c r="G49" s="3">
        <v>230</v>
      </c>
      <c r="H49" s="3">
        <f>ROUND((F49-G49),5)</f>
        <v>-207.59</v>
      </c>
      <c r="I49" s="4"/>
      <c r="J49" s="3">
        <v>0</v>
      </c>
      <c r="K49" s="3">
        <v>0</v>
      </c>
      <c r="L49" s="3">
        <f t="shared" si="3"/>
        <v>0</v>
      </c>
      <c r="M49" s="4"/>
      <c r="N49" s="3">
        <v>0</v>
      </c>
      <c r="O49" s="3"/>
      <c r="P49" s="3" t="s">
        <v>185</v>
      </c>
      <c r="Q49" s="3">
        <v>650</v>
      </c>
    </row>
    <row r="50" spans="1:18" ht="15.75" outlineLevel="4" thickBot="1" x14ac:dyDescent="0.3">
      <c r="A50" s="2"/>
      <c r="B50" s="2"/>
      <c r="C50" s="2"/>
      <c r="D50" s="2" t="s">
        <v>43</v>
      </c>
      <c r="E50" s="2"/>
      <c r="F50" s="5">
        <v>716.8</v>
      </c>
      <c r="G50" s="5">
        <v>1351</v>
      </c>
      <c r="H50" s="5">
        <f>ROUND((F50-G50),5)</f>
        <v>-634.20000000000005</v>
      </c>
      <c r="I50" s="4"/>
      <c r="J50" s="5">
        <v>0</v>
      </c>
      <c r="K50" s="5">
        <v>0</v>
      </c>
      <c r="L50" s="5">
        <f t="shared" si="3"/>
        <v>0</v>
      </c>
      <c r="M50" s="4"/>
      <c r="N50" s="5">
        <v>0</v>
      </c>
      <c r="O50" s="3"/>
      <c r="P50" s="3" t="s">
        <v>185</v>
      </c>
      <c r="Q50" s="3">
        <v>2457</v>
      </c>
    </row>
    <row r="51" spans="1:18" ht="15.75" hidden="1" outlineLevel="4" thickBot="1" x14ac:dyDescent="0.3">
      <c r="A51" s="2"/>
      <c r="B51" s="2"/>
      <c r="C51" s="2"/>
      <c r="D51" s="2" t="s">
        <v>48</v>
      </c>
      <c r="E51" s="2"/>
      <c r="F51" s="5">
        <v>0</v>
      </c>
      <c r="G51" s="5"/>
      <c r="H51" s="5"/>
      <c r="I51" s="4"/>
      <c r="J51" s="5">
        <v>0</v>
      </c>
      <c r="K51" s="5">
        <v>0</v>
      </c>
      <c r="L51" s="5">
        <f t="shared" si="3"/>
        <v>0</v>
      </c>
      <c r="M51" s="4"/>
      <c r="N51" s="5"/>
      <c r="O51" s="5"/>
      <c r="P51" s="5"/>
      <c r="Q51" s="5"/>
    </row>
    <row r="52" spans="1:18" outlineLevel="3" x14ac:dyDescent="0.25">
      <c r="A52" s="2"/>
      <c r="B52" s="2"/>
      <c r="C52" s="2" t="s">
        <v>49</v>
      </c>
      <c r="D52" s="2"/>
      <c r="E52" s="2"/>
      <c r="F52" s="3">
        <f>ROUND(SUM(F46:F51),5)</f>
        <v>1205.5</v>
      </c>
      <c r="G52" s="3">
        <f>ROUND(SUM(G46:G51),5)</f>
        <v>2456</v>
      </c>
      <c r="H52" s="3">
        <f t="shared" ref="H52:H57" si="4">ROUND((F52-G52),5)</f>
        <v>-1250.5</v>
      </c>
      <c r="I52" s="4"/>
      <c r="J52" s="3">
        <f>ROUND(SUM(J46:J51),5)</f>
        <v>237.38</v>
      </c>
      <c r="K52" s="3">
        <f>ROUND(SUM(K46:K51),5)</f>
        <v>1280</v>
      </c>
      <c r="L52" s="3">
        <f t="shared" si="3"/>
        <v>-1042.6199999999999</v>
      </c>
      <c r="M52" s="4"/>
      <c r="N52" s="3">
        <f>ROUND(SUM(N46:N51),5)</f>
        <v>300</v>
      </c>
      <c r="O52" s="3"/>
      <c r="P52" s="3"/>
      <c r="Q52" s="7">
        <f>SUM(Q46:Q51)</f>
        <v>4515</v>
      </c>
      <c r="R52" s="66" t="s">
        <v>259</v>
      </c>
    </row>
    <row r="53" spans="1:18" outlineLevel="3" x14ac:dyDescent="0.25">
      <c r="A53" s="2"/>
      <c r="B53" s="2"/>
      <c r="C53" s="2" t="s">
        <v>50</v>
      </c>
      <c r="D53" s="2"/>
      <c r="E53" s="2"/>
      <c r="F53" s="3">
        <v>0</v>
      </c>
      <c r="G53" s="3">
        <v>0</v>
      </c>
      <c r="H53" s="3">
        <f t="shared" si="4"/>
        <v>0</v>
      </c>
      <c r="I53" s="4"/>
      <c r="J53" s="3">
        <v>203.17</v>
      </c>
      <c r="K53" s="3">
        <v>200</v>
      </c>
      <c r="L53" s="3">
        <f t="shared" si="3"/>
        <v>3.17</v>
      </c>
      <c r="M53" s="4"/>
      <c r="N53" s="3">
        <v>0</v>
      </c>
      <c r="O53" s="3"/>
      <c r="P53" s="3" t="s">
        <v>213</v>
      </c>
      <c r="Q53" s="3">
        <v>0</v>
      </c>
    </row>
    <row r="54" spans="1:18" outlineLevel="3" x14ac:dyDescent="0.25">
      <c r="A54" s="2"/>
      <c r="B54" s="2"/>
      <c r="C54" s="2" t="s">
        <v>51</v>
      </c>
      <c r="D54" s="2"/>
      <c r="E54" s="2"/>
      <c r="F54" s="3">
        <v>960</v>
      </c>
      <c r="G54" s="3">
        <v>0</v>
      </c>
      <c r="H54" s="3">
        <f t="shared" si="4"/>
        <v>960</v>
      </c>
      <c r="I54" s="4"/>
      <c r="J54" s="3">
        <v>960</v>
      </c>
      <c r="K54" s="3">
        <v>960</v>
      </c>
      <c r="L54" s="3">
        <f t="shared" si="3"/>
        <v>0</v>
      </c>
      <c r="M54" s="4"/>
      <c r="N54" s="3">
        <v>960</v>
      </c>
      <c r="O54" s="3"/>
      <c r="P54" s="3"/>
      <c r="Q54" s="3">
        <v>960</v>
      </c>
    </row>
    <row r="55" spans="1:18" outlineLevel="3" x14ac:dyDescent="0.25">
      <c r="A55" s="2"/>
      <c r="B55" s="2"/>
      <c r="C55" s="2" t="s">
        <v>52</v>
      </c>
      <c r="D55" s="2"/>
      <c r="E55" s="2"/>
      <c r="F55" s="3">
        <v>0</v>
      </c>
      <c r="G55" s="3">
        <v>150</v>
      </c>
      <c r="H55" s="3">
        <f t="shared" si="4"/>
        <v>-150</v>
      </c>
      <c r="I55" s="4"/>
      <c r="J55" s="3">
        <v>170</v>
      </c>
      <c r="K55" s="3">
        <v>150</v>
      </c>
      <c r="L55" s="3">
        <f t="shared" si="3"/>
        <v>20</v>
      </c>
      <c r="M55" s="4"/>
      <c r="N55" s="3">
        <v>175</v>
      </c>
      <c r="O55" s="3"/>
      <c r="P55" s="3"/>
      <c r="Q55" s="3">
        <v>175</v>
      </c>
    </row>
    <row r="56" spans="1:18" ht="15.75" outlineLevel="3" thickBot="1" x14ac:dyDescent="0.3">
      <c r="A56" s="2"/>
      <c r="B56" s="2"/>
      <c r="C56" s="2" t="s">
        <v>53</v>
      </c>
      <c r="D56" s="2"/>
      <c r="E56" s="2"/>
      <c r="F56" s="5">
        <v>59.88</v>
      </c>
      <c r="G56" s="5">
        <v>0</v>
      </c>
      <c r="H56" s="5">
        <f t="shared" si="4"/>
        <v>59.88</v>
      </c>
      <c r="I56" s="4"/>
      <c r="J56" s="5">
        <v>230</v>
      </c>
      <c r="K56" s="5">
        <v>240</v>
      </c>
      <c r="L56" s="5">
        <f t="shared" si="3"/>
        <v>-10</v>
      </c>
      <c r="M56" s="4"/>
      <c r="N56" s="5">
        <v>0</v>
      </c>
      <c r="O56" s="6" t="s">
        <v>209</v>
      </c>
      <c r="P56" s="6" t="s">
        <v>181</v>
      </c>
      <c r="Q56" s="5">
        <v>0</v>
      </c>
    </row>
    <row r="57" spans="1:18" outlineLevel="2" x14ac:dyDescent="0.25">
      <c r="A57" s="2"/>
      <c r="B57" s="2" t="s">
        <v>54</v>
      </c>
      <c r="C57" s="2"/>
      <c r="D57" s="2"/>
      <c r="E57" s="2"/>
      <c r="F57" s="3">
        <f>ROUND(F39+SUM(F45:F45)+SUM(F52:F56),5)</f>
        <v>2839.41</v>
      </c>
      <c r="G57" s="3">
        <f>ROUND(G39+SUM(G45:G45)+SUM(G52:G56),5)</f>
        <v>6157</v>
      </c>
      <c r="H57" s="3">
        <f t="shared" si="4"/>
        <v>-3317.59</v>
      </c>
      <c r="I57" s="4"/>
      <c r="J57" s="3">
        <f>ROUND(J39+SUM(J45:J45)+SUM(J52:J56),5)</f>
        <v>3514.75</v>
      </c>
      <c r="K57" s="3">
        <f>ROUND(K39+SUM(K45:K45)+SUM(K52:K56),5)</f>
        <v>5548</v>
      </c>
      <c r="L57" s="3">
        <f t="shared" si="3"/>
        <v>-2033.25</v>
      </c>
      <c r="M57" s="4"/>
      <c r="N57" s="3">
        <f>ROUND(N39+SUM(N45:N45)+SUM(N52:N56),5)</f>
        <v>3285</v>
      </c>
      <c r="O57" s="3"/>
      <c r="P57" s="3"/>
      <c r="Q57" s="3">
        <f>ROUND(Q39+SUM(Q45:Q45)+SUM(Q52:Q56),5)</f>
        <v>5650</v>
      </c>
    </row>
    <row r="58" spans="1:18" outlineLevel="3" x14ac:dyDescent="0.25">
      <c r="A58" s="2"/>
      <c r="B58" s="2" t="s">
        <v>55</v>
      </c>
      <c r="C58" s="2"/>
      <c r="D58" s="2"/>
      <c r="E58" s="2"/>
      <c r="F58" s="3"/>
      <c r="G58" s="3"/>
      <c r="H58" s="3"/>
      <c r="I58" s="4"/>
      <c r="J58" s="3"/>
      <c r="K58" s="3"/>
      <c r="L58" s="3"/>
      <c r="M58" s="4"/>
      <c r="N58" s="3"/>
      <c r="O58" s="3"/>
      <c r="P58" s="3"/>
      <c r="Q58" s="3"/>
    </row>
    <row r="59" spans="1:18" outlineLevel="3" x14ac:dyDescent="0.25">
      <c r="A59" s="2"/>
      <c r="B59" s="2"/>
      <c r="C59" s="2" t="s">
        <v>56</v>
      </c>
      <c r="D59" s="2"/>
      <c r="E59" s="2"/>
      <c r="F59" s="3">
        <v>269.39999999999998</v>
      </c>
      <c r="G59" s="3">
        <v>250</v>
      </c>
      <c r="H59" s="3">
        <f>ROUND((F59-G59),5)</f>
        <v>19.399999999999999</v>
      </c>
      <c r="I59" s="4"/>
      <c r="J59" s="3">
        <v>1269.05</v>
      </c>
      <c r="K59" s="3">
        <v>2157</v>
      </c>
      <c r="L59" s="3">
        <f>ROUND((J59-K59),5)</f>
        <v>-887.95</v>
      </c>
      <c r="M59" s="4"/>
      <c r="N59" s="24">
        <v>300</v>
      </c>
      <c r="O59" s="3"/>
      <c r="P59" s="6" t="s">
        <v>211</v>
      </c>
      <c r="Q59" s="3">
        <v>300</v>
      </c>
    </row>
    <row r="60" spans="1:18" outlineLevel="3" x14ac:dyDescent="0.25">
      <c r="A60" s="2"/>
      <c r="B60" s="2"/>
      <c r="C60" s="2" t="s">
        <v>57</v>
      </c>
      <c r="D60" s="2"/>
      <c r="E60" s="2"/>
      <c r="F60" s="3">
        <v>16010</v>
      </c>
      <c r="G60" s="3">
        <v>15435</v>
      </c>
      <c r="H60" s="3">
        <f>ROUND((F60-G60),5)</f>
        <v>575</v>
      </c>
      <c r="I60" s="4"/>
      <c r="J60" s="3">
        <v>16273</v>
      </c>
      <c r="K60" s="3">
        <v>15880</v>
      </c>
      <c r="L60" s="3">
        <f>ROUND((J60-K60),5)</f>
        <v>393</v>
      </c>
      <c r="M60" s="4"/>
      <c r="N60" s="3">
        <f>456*37</f>
        <v>16872</v>
      </c>
      <c r="O60" s="3"/>
      <c r="P60" s="3" t="s">
        <v>183</v>
      </c>
      <c r="Q60" s="3">
        <v>16872</v>
      </c>
    </row>
    <row r="61" spans="1:18" outlineLevel="4" x14ac:dyDescent="0.25">
      <c r="A61" s="2"/>
      <c r="B61" s="2"/>
      <c r="C61" s="2" t="s">
        <v>58</v>
      </c>
      <c r="D61" s="2"/>
      <c r="E61" s="2"/>
      <c r="F61" s="3"/>
      <c r="G61" s="3"/>
      <c r="H61" s="3"/>
      <c r="I61" s="4"/>
      <c r="J61" s="3"/>
      <c r="K61" s="3"/>
      <c r="L61" s="3"/>
      <c r="M61" s="4"/>
      <c r="N61" s="3"/>
      <c r="O61" s="3"/>
      <c r="P61" s="3"/>
      <c r="Q61" s="3"/>
    </row>
    <row r="62" spans="1:18" outlineLevel="5" x14ac:dyDescent="0.25">
      <c r="A62" s="2"/>
      <c r="B62" s="2"/>
      <c r="C62" s="2"/>
      <c r="D62" s="2" t="s">
        <v>47</v>
      </c>
      <c r="E62" s="2"/>
      <c r="F62" s="3"/>
      <c r="G62" s="3"/>
      <c r="H62" s="3"/>
      <c r="I62" s="4"/>
      <c r="J62" s="3"/>
      <c r="K62" s="3"/>
      <c r="L62" s="3"/>
      <c r="M62" s="4"/>
      <c r="N62" s="3"/>
      <c r="O62" s="3"/>
      <c r="P62" s="3"/>
      <c r="Q62" s="3"/>
    </row>
    <row r="63" spans="1:18" outlineLevel="5" x14ac:dyDescent="0.25">
      <c r="A63" s="2"/>
      <c r="B63" s="2"/>
      <c r="C63" s="2"/>
      <c r="D63" s="2"/>
      <c r="E63" s="2" t="s">
        <v>59</v>
      </c>
      <c r="F63" s="3">
        <v>-321</v>
      </c>
      <c r="G63" s="3">
        <v>-200</v>
      </c>
      <c r="H63" s="3">
        <f>ROUND((F63-G63),5)</f>
        <v>-121</v>
      </c>
      <c r="I63" s="4"/>
      <c r="J63" s="3">
        <v>-190</v>
      </c>
      <c r="K63" s="3">
        <v>-300</v>
      </c>
      <c r="L63" s="3">
        <f>ROUND((J63-K63),5)</f>
        <v>110</v>
      </c>
      <c r="M63" s="4"/>
      <c r="N63" s="24">
        <v>-300</v>
      </c>
      <c r="O63" s="3"/>
      <c r="P63" s="3"/>
      <c r="Q63" s="3">
        <v>-300</v>
      </c>
    </row>
    <row r="64" spans="1:18" ht="15.75" outlineLevel="5" thickBot="1" x14ac:dyDescent="0.3">
      <c r="A64" s="2"/>
      <c r="B64" s="2"/>
      <c r="C64" s="2"/>
      <c r="D64" s="2"/>
      <c r="E64" s="2" t="s">
        <v>60</v>
      </c>
      <c r="F64" s="5">
        <v>840</v>
      </c>
      <c r="G64" s="5">
        <v>600</v>
      </c>
      <c r="H64" s="5">
        <f>ROUND((F64-G64),5)</f>
        <v>240</v>
      </c>
      <c r="I64" s="4"/>
      <c r="J64" s="5">
        <v>1082.8900000000001</v>
      </c>
      <c r="K64" s="5">
        <v>840</v>
      </c>
      <c r="L64" s="5">
        <f>ROUND((J64-K64),5)</f>
        <v>242.89</v>
      </c>
      <c r="M64" s="4"/>
      <c r="N64" s="58">
        <f>840+300</f>
        <v>1140</v>
      </c>
      <c r="O64" s="6"/>
      <c r="P64" s="27" t="s">
        <v>184</v>
      </c>
      <c r="Q64" s="5">
        <v>1140</v>
      </c>
    </row>
    <row r="65" spans="1:18" outlineLevel="4" x14ac:dyDescent="0.25">
      <c r="A65" s="2"/>
      <c r="B65" s="2"/>
      <c r="C65" s="2"/>
      <c r="D65" s="2" t="s">
        <v>61</v>
      </c>
      <c r="E65" s="2"/>
      <c r="F65" s="3">
        <f>ROUND(SUM(F62:F64),5)</f>
        <v>519</v>
      </c>
      <c r="G65" s="3">
        <f>ROUND(SUM(G62:G64),5)</f>
        <v>400</v>
      </c>
      <c r="H65" s="3">
        <f>ROUND((F65-G65),5)</f>
        <v>119</v>
      </c>
      <c r="I65" s="4"/>
      <c r="J65" s="3">
        <f>ROUND(SUM(J62:J64),5)</f>
        <v>892.89</v>
      </c>
      <c r="K65" s="3">
        <f>ROUND(SUM(K62:K64),5)</f>
        <v>540</v>
      </c>
      <c r="L65" s="3">
        <f>ROUND((J65-K65),5)</f>
        <v>352.89</v>
      </c>
      <c r="M65" s="4"/>
      <c r="N65" s="24">
        <f>ROUND(SUM(N62:N64),5)</f>
        <v>840</v>
      </c>
      <c r="O65" s="3"/>
      <c r="P65" s="3"/>
      <c r="Q65" s="3">
        <f>ROUND(SUM(Q62:Q64),5)</f>
        <v>840</v>
      </c>
    </row>
    <row r="66" spans="1:18" ht="23.25" outlineLevel="4" x14ac:dyDescent="0.25">
      <c r="A66" s="2"/>
      <c r="B66" s="2"/>
      <c r="C66" s="2"/>
      <c r="D66" s="2" t="s">
        <v>62</v>
      </c>
      <c r="E66" s="2"/>
      <c r="F66" s="3">
        <v>0</v>
      </c>
      <c r="G66" s="3">
        <v>0</v>
      </c>
      <c r="H66" s="3">
        <f>ROUND((F66-G66),5)</f>
        <v>0</v>
      </c>
      <c r="I66" s="4"/>
      <c r="J66" s="3">
        <v>101.15</v>
      </c>
      <c r="K66" s="3">
        <v>686</v>
      </c>
      <c r="L66" s="3">
        <f>ROUND((J66-K66),5)</f>
        <v>-584.85</v>
      </c>
      <c r="M66" s="4"/>
      <c r="N66" s="3">
        <v>325</v>
      </c>
      <c r="O66" s="3"/>
      <c r="P66" s="3" t="s">
        <v>207</v>
      </c>
      <c r="Q66" s="3">
        <f>325+40+100</f>
        <v>465</v>
      </c>
      <c r="R66" s="95" t="s">
        <v>260</v>
      </c>
    </row>
    <row r="67" spans="1:18" outlineLevel="4" x14ac:dyDescent="0.25">
      <c r="A67" s="2"/>
      <c r="B67" s="2"/>
      <c r="C67" s="2"/>
      <c r="D67" s="2" t="s">
        <v>63</v>
      </c>
      <c r="E67" s="2"/>
      <c r="F67" s="3">
        <v>43.16</v>
      </c>
      <c r="G67" s="3">
        <v>100</v>
      </c>
      <c r="H67" s="3">
        <f>ROUND((F67-G67),5)</f>
        <v>-56.84</v>
      </c>
      <c r="I67" s="4"/>
      <c r="J67" s="3">
        <v>54.43</v>
      </c>
      <c r="K67" s="3">
        <v>100</v>
      </c>
      <c r="L67" s="3">
        <f>ROUND((J67-K67),5)</f>
        <v>-45.57</v>
      </c>
      <c r="M67" s="4"/>
      <c r="N67" s="3">
        <v>100</v>
      </c>
      <c r="O67" s="3" t="s">
        <v>161</v>
      </c>
      <c r="P67" s="3" t="s">
        <v>162</v>
      </c>
      <c r="Q67" s="3">
        <v>100</v>
      </c>
    </row>
    <row r="68" spans="1:18" outlineLevel="5" x14ac:dyDescent="0.25">
      <c r="A68" s="2"/>
      <c r="B68" s="2"/>
      <c r="C68" s="2"/>
      <c r="D68" s="2" t="s">
        <v>64</v>
      </c>
      <c r="E68" s="2"/>
      <c r="F68" s="3"/>
      <c r="G68" s="3"/>
      <c r="H68" s="3"/>
      <c r="I68" s="4"/>
      <c r="J68" s="3"/>
      <c r="K68" s="3"/>
      <c r="L68" s="3"/>
      <c r="M68" s="4"/>
      <c r="N68" s="3"/>
      <c r="O68" s="3"/>
      <c r="P68" s="3"/>
      <c r="Q68" s="3"/>
    </row>
    <row r="69" spans="1:18" outlineLevel="5" x14ac:dyDescent="0.25">
      <c r="A69" s="2"/>
      <c r="B69" s="2"/>
      <c r="C69" s="2"/>
      <c r="D69" s="2"/>
      <c r="E69" s="2" t="s">
        <v>65</v>
      </c>
      <c r="F69" s="3">
        <v>1040.1300000000001</v>
      </c>
      <c r="G69" s="3">
        <v>1200</v>
      </c>
      <c r="H69" s="3">
        <f>ROUND((F69-G69),5)</f>
        <v>-159.87</v>
      </c>
      <c r="I69" s="4"/>
      <c r="J69" s="3">
        <v>140</v>
      </c>
      <c r="K69" s="3">
        <v>1200</v>
      </c>
      <c r="L69" s="3">
        <f t="shared" ref="L69:L74" si="5">ROUND((J69-K69),5)</f>
        <v>-1060</v>
      </c>
      <c r="M69" s="4"/>
      <c r="N69" s="3">
        <v>1200</v>
      </c>
      <c r="O69" s="3" t="s">
        <v>161</v>
      </c>
      <c r="P69" s="3" t="s">
        <v>162</v>
      </c>
      <c r="Q69" s="3">
        <v>1200</v>
      </c>
    </row>
    <row r="70" spans="1:18" outlineLevel="5" x14ac:dyDescent="0.25">
      <c r="A70" s="2"/>
      <c r="B70" s="2"/>
      <c r="C70" s="2"/>
      <c r="D70" s="2"/>
      <c r="E70" s="2" t="s">
        <v>66</v>
      </c>
      <c r="F70" s="3">
        <v>875</v>
      </c>
      <c r="G70" s="3">
        <v>800</v>
      </c>
      <c r="H70" s="3">
        <f>ROUND((F70-G70),5)</f>
        <v>75</v>
      </c>
      <c r="I70" s="4"/>
      <c r="J70" s="3">
        <v>750</v>
      </c>
      <c r="K70" s="3">
        <v>800</v>
      </c>
      <c r="L70" s="3">
        <f t="shared" si="5"/>
        <v>-50</v>
      </c>
      <c r="M70" s="4"/>
      <c r="N70" s="3">
        <v>800</v>
      </c>
      <c r="O70" s="3" t="s">
        <v>161</v>
      </c>
      <c r="P70" s="3" t="s">
        <v>162</v>
      </c>
      <c r="Q70" s="3">
        <v>800</v>
      </c>
    </row>
    <row r="71" spans="1:18" ht="15.75" outlineLevel="5" thickBot="1" x14ac:dyDescent="0.3">
      <c r="A71" s="2"/>
      <c r="B71" s="2"/>
      <c r="C71" s="2"/>
      <c r="D71" s="2"/>
      <c r="E71" s="2" t="s">
        <v>67</v>
      </c>
      <c r="F71" s="5">
        <v>155</v>
      </c>
      <c r="G71" s="5">
        <v>250</v>
      </c>
      <c r="H71" s="5">
        <f>ROUND((F71-G71),5)</f>
        <v>-95</v>
      </c>
      <c r="I71" s="4"/>
      <c r="J71" s="5">
        <v>93.67</v>
      </c>
      <c r="K71" s="5">
        <v>250</v>
      </c>
      <c r="L71" s="5">
        <f t="shared" si="5"/>
        <v>-156.33000000000001</v>
      </c>
      <c r="M71" s="4"/>
      <c r="N71" s="5">
        <v>250</v>
      </c>
      <c r="O71" s="6" t="s">
        <v>161</v>
      </c>
      <c r="P71" s="3" t="s">
        <v>163</v>
      </c>
      <c r="Q71" s="5">
        <v>250</v>
      </c>
    </row>
    <row r="72" spans="1:18" ht="15.75" outlineLevel="4" thickBot="1" x14ac:dyDescent="0.3">
      <c r="A72" s="2"/>
      <c r="B72" s="2"/>
      <c r="C72" s="2"/>
      <c r="D72" s="2" t="s">
        <v>68</v>
      </c>
      <c r="E72" s="2"/>
      <c r="F72" s="23">
        <f>ROUND(SUM(F68:F71),5)</f>
        <v>2070.13</v>
      </c>
      <c r="G72" s="23">
        <f>ROUND(SUM(G68:G71),5)</f>
        <v>2250</v>
      </c>
      <c r="H72" s="23">
        <f>ROUND((F72-G72),5)</f>
        <v>-179.87</v>
      </c>
      <c r="I72" s="4"/>
      <c r="J72" s="23">
        <f>ROUND(SUM(J68:J71),5)</f>
        <v>983.67</v>
      </c>
      <c r="K72" s="23">
        <f>ROUND(SUM(K68:K71),5)</f>
        <v>2250</v>
      </c>
      <c r="L72" s="23">
        <f t="shared" si="5"/>
        <v>-1266.33</v>
      </c>
      <c r="M72" s="4"/>
      <c r="N72" s="23">
        <f>ROUND(SUM(N68:N71),5)</f>
        <v>2250</v>
      </c>
      <c r="O72" s="3"/>
      <c r="P72" s="3"/>
      <c r="Q72" s="23">
        <f>ROUND(SUM(Q68:Q71),5)</f>
        <v>2250</v>
      </c>
    </row>
    <row r="73" spans="1:18" ht="15.75" hidden="1" outlineLevel="4" thickBot="1" x14ac:dyDescent="0.3">
      <c r="A73" s="2"/>
      <c r="B73" s="2"/>
      <c r="C73" s="2"/>
      <c r="D73" s="2" t="s">
        <v>69</v>
      </c>
      <c r="E73" s="2"/>
      <c r="F73" s="5">
        <v>0</v>
      </c>
      <c r="G73" s="5"/>
      <c r="H73" s="5"/>
      <c r="I73" s="4"/>
      <c r="J73" s="5">
        <v>0</v>
      </c>
      <c r="K73" s="5">
        <v>0</v>
      </c>
      <c r="L73" s="5">
        <f t="shared" si="5"/>
        <v>0</v>
      </c>
      <c r="M73" s="4"/>
      <c r="N73" s="5"/>
      <c r="O73" s="5"/>
      <c r="P73" s="5"/>
      <c r="Q73" s="5"/>
    </row>
    <row r="74" spans="1:18" outlineLevel="3" x14ac:dyDescent="0.25">
      <c r="A74" s="2"/>
      <c r="B74" s="2"/>
      <c r="C74" s="2" t="s">
        <v>70</v>
      </c>
      <c r="D74" s="2"/>
      <c r="E74" s="2"/>
      <c r="F74" s="3">
        <f>ROUND(F61+SUM(F65:F67)+SUM(F72:F73),5)</f>
        <v>2632.29</v>
      </c>
      <c r="G74" s="3">
        <f>ROUND(G61+SUM(G65:G67)+SUM(G72:G73),5)</f>
        <v>2750</v>
      </c>
      <c r="H74" s="3">
        <f>ROUND((F74-G74),5)</f>
        <v>-117.71</v>
      </c>
      <c r="I74" s="4"/>
      <c r="J74" s="3">
        <f>ROUND(J61+SUM(J65:J67)+SUM(J72:J73),5)</f>
        <v>2032.14</v>
      </c>
      <c r="K74" s="3">
        <f>ROUND(K61+SUM(K65:K67)+SUM(K72:K73),5)</f>
        <v>3576</v>
      </c>
      <c r="L74" s="3">
        <f t="shared" si="5"/>
        <v>-1543.86</v>
      </c>
      <c r="M74" s="4"/>
      <c r="N74" s="3">
        <f>ROUND(N61+SUM(N65:N67)+SUM(N72:N73),5)</f>
        <v>3515</v>
      </c>
      <c r="O74" s="3"/>
      <c r="P74" s="3"/>
      <c r="Q74" s="3">
        <f>ROUND(Q61+SUM(Q65:Q67)+SUM(Q72:Q73),5)</f>
        <v>3655</v>
      </c>
    </row>
    <row r="75" spans="1:18" ht="23.25" outlineLevel="3" x14ac:dyDescent="0.25">
      <c r="A75" s="2"/>
      <c r="B75" s="2"/>
      <c r="C75" s="2" t="s">
        <v>248</v>
      </c>
      <c r="D75" s="2"/>
      <c r="E75" s="2"/>
      <c r="F75" s="3"/>
      <c r="G75" s="3"/>
      <c r="H75" s="3"/>
      <c r="I75" s="4"/>
      <c r="J75" s="3"/>
      <c r="K75" s="3"/>
      <c r="L75" s="3"/>
      <c r="M75" s="4"/>
      <c r="N75" s="3"/>
      <c r="O75" s="3"/>
      <c r="P75" s="3"/>
      <c r="Q75" s="3">
        <v>1500</v>
      </c>
      <c r="R75" s="95" t="s">
        <v>261</v>
      </c>
    </row>
    <row r="76" spans="1:18" outlineLevel="4" x14ac:dyDescent="0.25">
      <c r="A76" s="2"/>
      <c r="B76" s="2"/>
      <c r="C76" s="2" t="s">
        <v>71</v>
      </c>
      <c r="D76" s="2"/>
      <c r="E76" s="2"/>
      <c r="F76" s="3"/>
      <c r="G76" s="3"/>
      <c r="H76" s="3"/>
      <c r="I76" s="4"/>
      <c r="J76" s="3"/>
      <c r="K76" s="3"/>
      <c r="L76" s="3"/>
      <c r="M76" s="4"/>
      <c r="N76" s="3"/>
      <c r="O76" s="3"/>
      <c r="P76" s="3"/>
      <c r="Q76" s="3"/>
    </row>
    <row r="77" spans="1:18" outlineLevel="4" x14ac:dyDescent="0.25">
      <c r="A77" s="2"/>
      <c r="B77" s="2"/>
      <c r="C77" s="2"/>
      <c r="D77" s="2" t="s">
        <v>72</v>
      </c>
      <c r="E77" s="2"/>
      <c r="F77" s="3">
        <v>374.8</v>
      </c>
      <c r="G77" s="3">
        <v>425</v>
      </c>
      <c r="H77" s="3">
        <f>ROUND((F77-G77),5)</f>
        <v>-50.2</v>
      </c>
      <c r="I77" s="4"/>
      <c r="J77" s="3">
        <v>366.91</v>
      </c>
      <c r="K77" s="3">
        <v>375</v>
      </c>
      <c r="L77" s="3">
        <f t="shared" ref="L77:L83" si="6">ROUND((J77-K77),5)</f>
        <v>-8.09</v>
      </c>
      <c r="M77" s="4"/>
      <c r="N77" s="3">
        <v>370</v>
      </c>
      <c r="O77" s="3" t="s">
        <v>131</v>
      </c>
      <c r="P77" s="3" t="s">
        <v>186</v>
      </c>
      <c r="Q77" s="3">
        <v>370</v>
      </c>
    </row>
    <row r="78" spans="1:18" ht="15.75" outlineLevel="4" thickBot="1" x14ac:dyDescent="0.3">
      <c r="A78" s="2"/>
      <c r="B78" s="2"/>
      <c r="C78" s="2"/>
      <c r="D78" s="2" t="s">
        <v>73</v>
      </c>
      <c r="E78" s="2"/>
      <c r="F78" s="5">
        <v>276.89999999999998</v>
      </c>
      <c r="G78" s="5">
        <v>300</v>
      </c>
      <c r="H78" s="5">
        <f>ROUND((F78-G78),5)</f>
        <v>-23.1</v>
      </c>
      <c r="I78" s="4"/>
      <c r="J78" s="5">
        <v>265.22000000000003</v>
      </c>
      <c r="K78" s="5">
        <v>280</v>
      </c>
      <c r="L78" s="5">
        <f t="shared" si="6"/>
        <v>-14.78</v>
      </c>
      <c r="M78" s="4"/>
      <c r="N78" s="3">
        <v>270</v>
      </c>
      <c r="O78" s="3" t="s">
        <v>131</v>
      </c>
      <c r="P78" s="3" t="s">
        <v>186</v>
      </c>
      <c r="Q78" s="3">
        <v>270</v>
      </c>
    </row>
    <row r="79" spans="1:18" ht="15.75" hidden="1" outlineLevel="4" thickBot="1" x14ac:dyDescent="0.3">
      <c r="A79" s="2"/>
      <c r="B79" s="2"/>
      <c r="C79" s="2"/>
      <c r="D79" s="2" t="s">
        <v>74</v>
      </c>
      <c r="E79" s="2"/>
      <c r="F79" s="5">
        <v>0</v>
      </c>
      <c r="G79" s="5"/>
      <c r="H79" s="5"/>
      <c r="I79" s="4"/>
      <c r="J79" s="5">
        <v>0</v>
      </c>
      <c r="K79" s="5">
        <v>0</v>
      </c>
      <c r="L79" s="5">
        <f t="shared" si="6"/>
        <v>0</v>
      </c>
      <c r="M79" s="4"/>
      <c r="N79" s="5"/>
      <c r="O79" s="5"/>
      <c r="P79" s="5"/>
      <c r="Q79" s="5"/>
    </row>
    <row r="80" spans="1:18" outlineLevel="3" x14ac:dyDescent="0.25">
      <c r="A80" s="2"/>
      <c r="B80" s="2"/>
      <c r="C80" s="2" t="s">
        <v>75</v>
      </c>
      <c r="D80" s="2"/>
      <c r="E80" s="2"/>
      <c r="F80" s="3">
        <f>ROUND(SUM(F76:F79),5)</f>
        <v>651.70000000000005</v>
      </c>
      <c r="G80" s="3">
        <f>ROUND(SUM(G76:G79),5)</f>
        <v>725</v>
      </c>
      <c r="H80" s="3">
        <f>ROUND((F80-G80),5)</f>
        <v>-73.3</v>
      </c>
      <c r="I80" s="4"/>
      <c r="J80" s="3">
        <f>ROUND(SUM(J76:J79),5)</f>
        <v>632.13</v>
      </c>
      <c r="K80" s="3">
        <f>ROUND(SUM(K76:K79),5)</f>
        <v>655</v>
      </c>
      <c r="L80" s="3">
        <f t="shared" si="6"/>
        <v>-22.87</v>
      </c>
      <c r="M80" s="4"/>
      <c r="N80" s="7">
        <f>ROUND(SUM(N76:N79),5)</f>
        <v>640</v>
      </c>
      <c r="O80" s="3"/>
      <c r="P80" s="3"/>
      <c r="Q80" s="7">
        <f>ROUND(SUM(Q76:Q79),5)</f>
        <v>640</v>
      </c>
    </row>
    <row r="81" spans="1:17" outlineLevel="3" x14ac:dyDescent="0.25">
      <c r="A81" s="2"/>
      <c r="B81" s="2"/>
      <c r="C81" s="2" t="s">
        <v>76</v>
      </c>
      <c r="D81" s="2"/>
      <c r="E81" s="2"/>
      <c r="F81" s="3">
        <v>178.31</v>
      </c>
      <c r="G81" s="3">
        <v>250</v>
      </c>
      <c r="H81" s="3">
        <f>ROUND((F81-G81),5)</f>
        <v>-71.69</v>
      </c>
      <c r="I81" s="4"/>
      <c r="J81" s="3">
        <v>180.32</v>
      </c>
      <c r="K81" s="3">
        <v>250</v>
      </c>
      <c r="L81" s="3">
        <f t="shared" si="6"/>
        <v>-69.680000000000007</v>
      </c>
      <c r="M81" s="4"/>
      <c r="N81" s="3">
        <v>200</v>
      </c>
      <c r="O81" s="3" t="s">
        <v>131</v>
      </c>
      <c r="P81" s="60" t="s">
        <v>187</v>
      </c>
      <c r="Q81" s="3">
        <v>200</v>
      </c>
    </row>
    <row r="82" spans="1:17" outlineLevel="3" x14ac:dyDescent="0.25">
      <c r="A82" s="2"/>
      <c r="B82" s="2"/>
      <c r="C82" s="2" t="s">
        <v>77</v>
      </c>
      <c r="D82" s="2"/>
      <c r="E82" s="2"/>
      <c r="F82" s="3">
        <v>15645</v>
      </c>
      <c r="G82" s="3">
        <v>15435</v>
      </c>
      <c r="H82" s="3">
        <f>ROUND((F82-G82),5)</f>
        <v>210</v>
      </c>
      <c r="I82" s="4"/>
      <c r="J82" s="3">
        <v>14525</v>
      </c>
      <c r="K82" s="3">
        <v>15680</v>
      </c>
      <c r="L82" s="3">
        <f t="shared" si="6"/>
        <v>-1155</v>
      </c>
      <c r="M82" s="4"/>
      <c r="N82" s="3">
        <f>456*40</f>
        <v>18240</v>
      </c>
      <c r="O82" s="3" t="s">
        <v>131</v>
      </c>
      <c r="P82" s="3" t="s">
        <v>182</v>
      </c>
      <c r="Q82" s="3">
        <v>18240</v>
      </c>
    </row>
    <row r="83" spans="1:17" outlineLevel="3" x14ac:dyDescent="0.25">
      <c r="A83" s="2"/>
      <c r="B83" s="2"/>
      <c r="C83" s="2" t="s">
        <v>78</v>
      </c>
      <c r="D83" s="2"/>
      <c r="E83" s="2"/>
      <c r="F83" s="3">
        <v>433.2</v>
      </c>
      <c r="G83" s="3">
        <v>325</v>
      </c>
      <c r="H83" s="3">
        <f>ROUND((F83-G83),5)</f>
        <v>108.2</v>
      </c>
      <c r="I83" s="4"/>
      <c r="J83" s="3">
        <v>448.87</v>
      </c>
      <c r="K83" s="3">
        <v>425</v>
      </c>
      <c r="L83" s="3">
        <f t="shared" si="6"/>
        <v>23.87</v>
      </c>
      <c r="M83" s="4"/>
      <c r="N83" s="3">
        <v>450</v>
      </c>
      <c r="O83" s="3" t="s">
        <v>131</v>
      </c>
      <c r="P83" s="3" t="s">
        <v>186</v>
      </c>
      <c r="Q83" s="3">
        <v>450</v>
      </c>
    </row>
    <row r="84" spans="1:17" hidden="1" outlineLevel="4" x14ac:dyDescent="0.25">
      <c r="A84" s="2"/>
      <c r="B84" s="2"/>
      <c r="C84" s="2" t="s">
        <v>79</v>
      </c>
      <c r="D84" s="2"/>
      <c r="E84" s="2"/>
      <c r="F84" s="3"/>
      <c r="G84" s="3"/>
      <c r="H84" s="3"/>
      <c r="I84" s="4"/>
      <c r="J84" s="3"/>
      <c r="K84" s="3"/>
      <c r="L84" s="3"/>
      <c r="M84" s="4"/>
      <c r="N84" s="3"/>
      <c r="O84" s="3"/>
      <c r="P84" s="3"/>
      <c r="Q84" s="3"/>
    </row>
    <row r="85" spans="1:17" hidden="1" outlineLevel="4" x14ac:dyDescent="0.25">
      <c r="A85" s="2"/>
      <c r="B85" s="2"/>
      <c r="C85" s="2"/>
      <c r="D85" s="2" t="s">
        <v>80</v>
      </c>
      <c r="E85" s="2"/>
      <c r="F85" s="3">
        <v>312.67</v>
      </c>
      <c r="G85" s="3">
        <v>300</v>
      </c>
      <c r="H85" s="3">
        <f>ROUND((F85-G85),5)</f>
        <v>12.67</v>
      </c>
      <c r="I85" s="4"/>
      <c r="J85" s="3">
        <v>121.04</v>
      </c>
      <c r="K85" s="3">
        <v>300</v>
      </c>
      <c r="L85" s="3">
        <f>ROUND((J85-K85),5)</f>
        <v>-178.96</v>
      </c>
      <c r="M85" s="4"/>
      <c r="N85" s="3"/>
      <c r="O85" s="3"/>
      <c r="P85" s="3"/>
      <c r="Q85" s="3"/>
    </row>
    <row r="86" spans="1:17" hidden="1" outlineLevel="4" x14ac:dyDescent="0.25">
      <c r="A86" s="2"/>
      <c r="B86" s="2"/>
      <c r="C86" s="2"/>
      <c r="D86" s="2" t="s">
        <v>81</v>
      </c>
      <c r="E86" s="2"/>
      <c r="F86" s="3">
        <v>0</v>
      </c>
      <c r="G86" s="3">
        <v>0</v>
      </c>
      <c r="H86" s="3">
        <f>ROUND((F86-G86),5)</f>
        <v>0</v>
      </c>
      <c r="I86" s="4"/>
      <c r="J86" s="3">
        <v>0</v>
      </c>
      <c r="K86" s="3">
        <v>0</v>
      </c>
      <c r="L86" s="3">
        <f>ROUND((J86-K86),5)</f>
        <v>0</v>
      </c>
      <c r="M86" s="4"/>
      <c r="N86" s="3"/>
      <c r="O86" s="3"/>
      <c r="P86" s="3"/>
      <c r="Q86" s="3"/>
    </row>
    <row r="87" spans="1:17" ht="15.75" hidden="1" outlineLevel="4" thickBot="1" x14ac:dyDescent="0.3">
      <c r="A87" s="2"/>
      <c r="B87" s="2"/>
      <c r="C87" s="2"/>
      <c r="D87" s="2" t="s">
        <v>82</v>
      </c>
      <c r="E87" s="2"/>
      <c r="F87" s="5">
        <v>0</v>
      </c>
      <c r="G87" s="5"/>
      <c r="H87" s="5"/>
      <c r="I87" s="4"/>
      <c r="J87" s="5">
        <v>0</v>
      </c>
      <c r="K87" s="5">
        <v>0</v>
      </c>
      <c r="L87" s="5">
        <f>ROUND((J87-K87),5)</f>
        <v>0</v>
      </c>
      <c r="M87" s="4"/>
      <c r="N87" s="5"/>
      <c r="O87" s="5"/>
      <c r="P87" s="5"/>
      <c r="Q87" s="5"/>
    </row>
    <row r="88" spans="1:17" outlineLevel="3" collapsed="1" x14ac:dyDescent="0.25">
      <c r="A88" s="2"/>
      <c r="B88" s="2"/>
      <c r="C88" s="2" t="s">
        <v>80</v>
      </c>
      <c r="D88" s="2"/>
      <c r="E88" s="2"/>
      <c r="F88" s="3">
        <f>ROUND(SUM(F84:F87),5)</f>
        <v>312.67</v>
      </c>
      <c r="G88" s="3">
        <f>ROUND(SUM(G84:G87),5)</f>
        <v>300</v>
      </c>
      <c r="H88" s="3">
        <f>ROUND((F88-G88),5)</f>
        <v>12.67</v>
      </c>
      <c r="I88" s="4"/>
      <c r="J88" s="3">
        <f>ROUND(SUM(J84:J87),5)</f>
        <v>121.04</v>
      </c>
      <c r="K88" s="3">
        <f>ROUND(SUM(K84:K87),5)</f>
        <v>300</v>
      </c>
      <c r="L88" s="3">
        <f>ROUND((J88-K88),5)</f>
        <v>-178.96</v>
      </c>
      <c r="M88" s="4"/>
      <c r="N88" s="3">
        <v>300</v>
      </c>
      <c r="O88" s="3" t="s">
        <v>131</v>
      </c>
      <c r="P88" s="3" t="s">
        <v>188</v>
      </c>
      <c r="Q88" s="3">
        <v>300</v>
      </c>
    </row>
    <row r="89" spans="1:17" outlineLevel="4" x14ac:dyDescent="0.25">
      <c r="A89" s="2"/>
      <c r="B89" s="2"/>
      <c r="C89" s="2" t="s">
        <v>83</v>
      </c>
      <c r="D89" s="2"/>
      <c r="E89" s="2"/>
      <c r="F89" s="3"/>
      <c r="G89" s="3"/>
      <c r="H89" s="3"/>
      <c r="I89" s="4"/>
      <c r="J89" s="3"/>
      <c r="K89" s="3"/>
      <c r="L89" s="3"/>
      <c r="M89" s="4"/>
      <c r="N89" s="3"/>
      <c r="O89" s="3"/>
      <c r="P89" s="3"/>
      <c r="Q89" s="3"/>
    </row>
    <row r="90" spans="1:17" outlineLevel="4" x14ac:dyDescent="0.25">
      <c r="A90" s="2"/>
      <c r="B90" s="2"/>
      <c r="C90" s="2"/>
      <c r="D90" s="2" t="s">
        <v>84</v>
      </c>
      <c r="E90" s="2"/>
      <c r="F90" s="3">
        <v>500</v>
      </c>
      <c r="G90" s="3">
        <v>500</v>
      </c>
      <c r="H90" s="3">
        <f>ROUND((F90-G90),5)</f>
        <v>0</v>
      </c>
      <c r="I90" s="4"/>
      <c r="J90" s="3">
        <v>500</v>
      </c>
      <c r="K90" s="3">
        <v>500</v>
      </c>
      <c r="L90" s="3">
        <f>ROUND((J90-K90),5)</f>
        <v>0</v>
      </c>
      <c r="M90" s="4"/>
      <c r="N90" s="3">
        <v>500</v>
      </c>
      <c r="O90" s="3" t="s">
        <v>164</v>
      </c>
      <c r="P90" s="3" t="s">
        <v>162</v>
      </c>
      <c r="Q90" s="3">
        <v>500</v>
      </c>
    </row>
    <row r="91" spans="1:17" outlineLevel="4" x14ac:dyDescent="0.25">
      <c r="A91" s="2"/>
      <c r="B91" s="2"/>
      <c r="C91" s="2"/>
      <c r="D91" s="2" t="s">
        <v>30</v>
      </c>
      <c r="E91" s="2"/>
      <c r="F91" s="3">
        <v>320.67</v>
      </c>
      <c r="G91" s="3">
        <v>300</v>
      </c>
      <c r="H91" s="3">
        <f>ROUND((F91-G91),5)</f>
        <v>20.67</v>
      </c>
      <c r="I91" s="4"/>
      <c r="J91" s="3">
        <v>497.59</v>
      </c>
      <c r="K91" s="3">
        <v>300</v>
      </c>
      <c r="L91" s="3">
        <f>ROUND((J91-K91),5)</f>
        <v>197.59</v>
      </c>
      <c r="M91" s="4"/>
      <c r="N91" s="3">
        <v>500</v>
      </c>
      <c r="O91" s="3" t="s">
        <v>164</v>
      </c>
      <c r="P91" s="3" t="s">
        <v>165</v>
      </c>
      <c r="Q91" s="3">
        <v>500</v>
      </c>
    </row>
    <row r="92" spans="1:17" ht="15.75" outlineLevel="4" thickBot="1" x14ac:dyDescent="0.3">
      <c r="A92" s="2"/>
      <c r="B92" s="2"/>
      <c r="C92" s="2"/>
      <c r="D92" s="2" t="s">
        <v>85</v>
      </c>
      <c r="E92" s="2"/>
      <c r="F92" s="5">
        <v>522.9</v>
      </c>
      <c r="G92" s="5">
        <v>510</v>
      </c>
      <c r="H92" s="5">
        <f>ROUND((F92-G92),5)</f>
        <v>12.9</v>
      </c>
      <c r="I92" s="4"/>
      <c r="J92" s="5">
        <v>561.75</v>
      </c>
      <c r="K92" s="5">
        <v>510</v>
      </c>
      <c r="L92" s="5">
        <f>ROUND((J92-K92),5)</f>
        <v>51.75</v>
      </c>
      <c r="M92" s="4"/>
      <c r="N92" s="3">
        <v>570</v>
      </c>
      <c r="O92" s="3" t="s">
        <v>164</v>
      </c>
      <c r="P92" s="3" t="s">
        <v>165</v>
      </c>
      <c r="Q92" s="5">
        <v>570</v>
      </c>
    </row>
    <row r="93" spans="1:17" ht="15.75" hidden="1" outlineLevel="4" thickBot="1" x14ac:dyDescent="0.3">
      <c r="A93" s="2"/>
      <c r="B93" s="2"/>
      <c r="C93" s="2"/>
      <c r="D93" s="2" t="s">
        <v>86</v>
      </c>
      <c r="E93" s="2"/>
      <c r="F93" s="5">
        <v>0</v>
      </c>
      <c r="G93" s="5"/>
      <c r="H93" s="5"/>
      <c r="I93" s="4"/>
      <c r="J93" s="5">
        <v>0</v>
      </c>
      <c r="K93" s="5">
        <v>0</v>
      </c>
      <c r="L93" s="5">
        <f>ROUND((J93-K93),5)</f>
        <v>0</v>
      </c>
      <c r="M93" s="4"/>
      <c r="N93" s="5"/>
      <c r="O93" s="5"/>
      <c r="P93" s="5"/>
      <c r="Q93" s="5"/>
    </row>
    <row r="94" spans="1:17" outlineLevel="3" x14ac:dyDescent="0.25">
      <c r="A94" s="2"/>
      <c r="B94" s="2"/>
      <c r="C94" s="2" t="s">
        <v>87</v>
      </c>
      <c r="D94" s="2"/>
      <c r="E94" s="2"/>
      <c r="F94" s="3">
        <f>ROUND(SUM(F89:F93),5)</f>
        <v>1343.57</v>
      </c>
      <c r="G94" s="3">
        <f>ROUND(SUM(G89:G93),5)</f>
        <v>1310</v>
      </c>
      <c r="H94" s="3">
        <f>ROUND((F94-G94),5)</f>
        <v>33.57</v>
      </c>
      <c r="I94" s="4"/>
      <c r="J94" s="3">
        <f>ROUND(SUM(J89:J93),5)</f>
        <v>1559.34</v>
      </c>
      <c r="K94" s="3">
        <f>ROUND(SUM(K89:K93),5)</f>
        <v>1310</v>
      </c>
      <c r="L94" s="3">
        <f>ROUND((J94-K94),5)</f>
        <v>249.34</v>
      </c>
      <c r="M94" s="4"/>
      <c r="N94" s="7">
        <f>ROUND(SUM(N89:N93),5)</f>
        <v>1570</v>
      </c>
      <c r="O94" s="3"/>
      <c r="P94" s="3"/>
      <c r="Q94" s="3">
        <f>ROUND(SUM(Q89:Q93),5)</f>
        <v>1570</v>
      </c>
    </row>
    <row r="95" spans="1:17" outlineLevel="4" x14ac:dyDescent="0.25">
      <c r="A95" s="2"/>
      <c r="B95" s="2"/>
      <c r="C95" s="2" t="s">
        <v>88</v>
      </c>
      <c r="D95" s="2"/>
      <c r="E95" s="2"/>
      <c r="F95" s="3"/>
      <c r="G95" s="3"/>
      <c r="H95" s="3"/>
      <c r="I95" s="4"/>
      <c r="J95" s="3"/>
      <c r="K95" s="3"/>
      <c r="L95" s="3"/>
      <c r="M95" s="4"/>
      <c r="N95" s="3"/>
      <c r="O95" s="3"/>
      <c r="P95" s="3"/>
      <c r="Q95" s="3"/>
    </row>
    <row r="96" spans="1:17" outlineLevel="4" x14ac:dyDescent="0.25">
      <c r="A96" s="2"/>
      <c r="B96" s="2"/>
      <c r="C96" s="2"/>
      <c r="D96" s="2" t="s">
        <v>89</v>
      </c>
      <c r="E96" s="2"/>
      <c r="F96" s="3">
        <v>1000</v>
      </c>
      <c r="G96" s="3">
        <v>1000</v>
      </c>
      <c r="H96" s="3">
        <f>ROUND((F96-G96),5)</f>
        <v>0</v>
      </c>
      <c r="I96" s="4"/>
      <c r="J96" s="3">
        <v>0</v>
      </c>
      <c r="K96" s="3">
        <v>1000</v>
      </c>
      <c r="L96" s="3">
        <f t="shared" ref="L96:L101" si="7">ROUND((J96-K96),5)</f>
        <v>-1000</v>
      </c>
      <c r="M96" s="4"/>
      <c r="N96" s="3">
        <v>1000</v>
      </c>
      <c r="O96" s="3" t="s">
        <v>166</v>
      </c>
      <c r="P96" s="3"/>
      <c r="Q96" s="3">
        <v>1000</v>
      </c>
    </row>
    <row r="97" spans="1:18" ht="15.75" outlineLevel="4" thickBot="1" x14ac:dyDescent="0.3">
      <c r="A97" s="2"/>
      <c r="B97" s="2"/>
      <c r="C97" s="2"/>
      <c r="D97" s="2" t="s">
        <v>90</v>
      </c>
      <c r="E97" s="2"/>
      <c r="F97" s="5">
        <v>2018.59</v>
      </c>
      <c r="G97" s="5">
        <v>1983</v>
      </c>
      <c r="H97" s="5">
        <f>ROUND((F97-G97),5)</f>
        <v>35.590000000000003</v>
      </c>
      <c r="I97" s="4"/>
      <c r="J97" s="5">
        <v>1074.5999999999999</v>
      </c>
      <c r="K97" s="5">
        <v>1300</v>
      </c>
      <c r="L97" s="5">
        <f t="shared" si="7"/>
        <v>-225.4</v>
      </c>
      <c r="M97" s="4"/>
      <c r="N97" s="5">
        <v>1310</v>
      </c>
      <c r="O97" s="3" t="s">
        <v>166</v>
      </c>
      <c r="P97" s="3" t="s">
        <v>208</v>
      </c>
      <c r="Q97" s="3">
        <v>1310</v>
      </c>
    </row>
    <row r="98" spans="1:18" ht="15.75" hidden="1" outlineLevel="4" thickBot="1" x14ac:dyDescent="0.3">
      <c r="A98" s="2"/>
      <c r="B98" s="2"/>
      <c r="C98" s="2"/>
      <c r="D98" s="2" t="s">
        <v>91</v>
      </c>
      <c r="E98" s="2"/>
      <c r="F98" s="5">
        <v>0</v>
      </c>
      <c r="G98" s="5"/>
      <c r="H98" s="5"/>
      <c r="I98" s="4"/>
      <c r="J98" s="5">
        <v>0</v>
      </c>
      <c r="K98" s="5">
        <v>0</v>
      </c>
      <c r="L98" s="5">
        <f t="shared" si="7"/>
        <v>0</v>
      </c>
      <c r="M98" s="4"/>
      <c r="N98" s="5"/>
      <c r="O98" s="5"/>
      <c r="P98" s="5"/>
      <c r="Q98" s="5"/>
    </row>
    <row r="99" spans="1:18" ht="15.75" outlineLevel="3" thickBot="1" x14ac:dyDescent="0.3">
      <c r="A99" s="2"/>
      <c r="B99" s="2"/>
      <c r="C99" s="2" t="s">
        <v>92</v>
      </c>
      <c r="D99" s="2"/>
      <c r="E99" s="2"/>
      <c r="F99" s="23">
        <f>ROUND(SUM(F95:F98),5)</f>
        <v>3018.59</v>
      </c>
      <c r="G99" s="23">
        <f>ROUND(SUM(G95:G98),5)</f>
        <v>2983</v>
      </c>
      <c r="H99" s="23">
        <f>ROUND((F99-G99),5)</f>
        <v>35.590000000000003</v>
      </c>
      <c r="I99" s="4"/>
      <c r="J99" s="23">
        <f>ROUND(SUM(J95:J98),5)</f>
        <v>1074.5999999999999</v>
      </c>
      <c r="K99" s="23">
        <f>ROUND(SUM(K95:K98),5)</f>
        <v>2300</v>
      </c>
      <c r="L99" s="23">
        <f t="shared" si="7"/>
        <v>-1225.4000000000001</v>
      </c>
      <c r="M99" s="4"/>
      <c r="N99" s="3">
        <f>ROUND(SUM(N95:N98),5)</f>
        <v>2310</v>
      </c>
      <c r="O99" s="3"/>
      <c r="P99" s="3"/>
      <c r="Q99" s="7">
        <f>ROUND(SUM(Q95:Q98),5)</f>
        <v>2310</v>
      </c>
    </row>
    <row r="100" spans="1:18" ht="15.75" hidden="1" outlineLevel="3" thickBot="1" x14ac:dyDescent="0.3">
      <c r="A100" s="2"/>
      <c r="B100" s="2"/>
      <c r="C100" s="2" t="s">
        <v>93</v>
      </c>
      <c r="D100" s="2"/>
      <c r="E100" s="2"/>
      <c r="F100" s="5">
        <v>0</v>
      </c>
      <c r="G100" s="5"/>
      <c r="H100" s="5"/>
      <c r="I100" s="4"/>
      <c r="J100" s="5">
        <v>0</v>
      </c>
      <c r="K100" s="5">
        <v>0</v>
      </c>
      <c r="L100" s="5">
        <f t="shared" si="7"/>
        <v>0</v>
      </c>
      <c r="M100" s="4"/>
      <c r="N100" s="5"/>
      <c r="O100" s="5"/>
      <c r="P100" s="5"/>
      <c r="Q100" s="5"/>
    </row>
    <row r="101" spans="1:18" outlineLevel="2" x14ac:dyDescent="0.25">
      <c r="A101" s="2"/>
      <c r="B101" s="2" t="s">
        <v>94</v>
      </c>
      <c r="C101" s="2"/>
      <c r="D101" s="2"/>
      <c r="E101" s="2"/>
      <c r="F101" s="3">
        <f>ROUND(SUM(F58:F60)+F74+SUM(F80:F83)+F88+F94+SUM(F99:F100),5)</f>
        <v>40494.730000000003</v>
      </c>
      <c r="G101" s="3">
        <f>ROUND(SUM(G58:G60)+G74+SUM(G80:G83)+G88+G94+SUM(G99:G100),5)</f>
        <v>39763</v>
      </c>
      <c r="H101" s="3">
        <f>ROUND((F101-G101),5)</f>
        <v>731.73</v>
      </c>
      <c r="I101" s="4"/>
      <c r="J101" s="3">
        <f>ROUND(SUM(J58:J60)+J74+SUM(J80:J83)+J88+J94+SUM(J99:J100),5)</f>
        <v>38115.49</v>
      </c>
      <c r="K101" s="3">
        <f>ROUND(SUM(K58:K60)+K74+SUM(K80:K83)+K88+K94+SUM(K99:K100),5)</f>
        <v>42533</v>
      </c>
      <c r="L101" s="3">
        <f t="shared" si="7"/>
        <v>-4417.51</v>
      </c>
      <c r="M101" s="4"/>
      <c r="N101" s="7">
        <f>ROUND(SUM(N58:N60)+N74+SUM(N80:N83)+N88+N94+SUM(N99:N100),5)</f>
        <v>44397</v>
      </c>
      <c r="O101" s="3"/>
      <c r="P101" s="3"/>
      <c r="Q101" s="7">
        <f>ROUND(SUM(Q58:Q60)+Q75+Q74+SUM(Q80:Q83)+Q88+Q94+SUM(Q99:Q100),5)</f>
        <v>46037</v>
      </c>
    </row>
    <row r="102" spans="1:18" outlineLevel="3" x14ac:dyDescent="0.25">
      <c r="A102" s="2"/>
      <c r="B102" s="2" t="s">
        <v>95</v>
      </c>
      <c r="C102" s="2"/>
      <c r="D102" s="2"/>
      <c r="E102" s="2"/>
      <c r="F102" s="3"/>
      <c r="G102" s="3"/>
      <c r="H102" s="3"/>
      <c r="I102" s="4"/>
      <c r="J102" s="3"/>
      <c r="K102" s="3"/>
      <c r="L102" s="3"/>
      <c r="M102" s="4"/>
      <c r="N102" s="3"/>
      <c r="O102" s="3"/>
      <c r="P102" s="3"/>
      <c r="Q102" s="3"/>
    </row>
    <row r="103" spans="1:18" ht="23.25" outlineLevel="3" x14ac:dyDescent="0.25">
      <c r="A103" s="2"/>
      <c r="B103" s="2"/>
      <c r="C103" s="2" t="s">
        <v>96</v>
      </c>
      <c r="D103" s="2"/>
      <c r="E103" s="2"/>
      <c r="F103" s="3">
        <v>0</v>
      </c>
      <c r="G103" s="3">
        <v>0</v>
      </c>
      <c r="H103" s="3">
        <f>ROUND((F103-G103),5)</f>
        <v>0</v>
      </c>
      <c r="I103" s="4"/>
      <c r="J103" s="3">
        <v>0</v>
      </c>
      <c r="K103" s="3">
        <v>200</v>
      </c>
      <c r="L103" s="3">
        <f>ROUND((J103-K103),5)</f>
        <v>-200</v>
      </c>
      <c r="M103" s="4"/>
      <c r="N103" s="24">
        <v>800</v>
      </c>
      <c r="O103" s="3" t="s">
        <v>167</v>
      </c>
      <c r="P103" s="3" t="s">
        <v>216</v>
      </c>
      <c r="Q103" s="57">
        <v>400</v>
      </c>
      <c r="R103" s="94" t="s">
        <v>262</v>
      </c>
    </row>
    <row r="104" spans="1:18" ht="15.75" outlineLevel="3" thickBot="1" x14ac:dyDescent="0.3">
      <c r="A104" s="2"/>
      <c r="B104" s="2"/>
      <c r="C104" s="2" t="s">
        <v>97</v>
      </c>
      <c r="D104" s="2"/>
      <c r="E104" s="2"/>
      <c r="F104" s="5">
        <v>500</v>
      </c>
      <c r="G104" s="5">
        <v>500</v>
      </c>
      <c r="H104" s="5">
        <f>ROUND((F104-G104),5)</f>
        <v>0</v>
      </c>
      <c r="I104" s="4"/>
      <c r="J104" s="5">
        <v>0</v>
      </c>
      <c r="K104" s="5">
        <v>500</v>
      </c>
      <c r="L104" s="5">
        <f>ROUND((J104-K104),5)</f>
        <v>-500</v>
      </c>
      <c r="M104" s="4"/>
      <c r="N104" s="5">
        <v>500</v>
      </c>
      <c r="O104" s="3"/>
      <c r="P104" s="3" t="s">
        <v>168</v>
      </c>
      <c r="Q104" s="3">
        <v>500</v>
      </c>
    </row>
    <row r="105" spans="1:18" ht="15.75" hidden="1" outlineLevel="3" thickBot="1" x14ac:dyDescent="0.3">
      <c r="A105" s="2"/>
      <c r="B105" s="2"/>
      <c r="C105" s="2" t="s">
        <v>98</v>
      </c>
      <c r="D105" s="2"/>
      <c r="E105" s="2"/>
      <c r="F105" s="5">
        <v>0</v>
      </c>
      <c r="G105" s="5"/>
      <c r="H105" s="5"/>
      <c r="I105" s="4"/>
      <c r="J105" s="5">
        <v>0</v>
      </c>
      <c r="K105" s="5">
        <v>0</v>
      </c>
      <c r="L105" s="5">
        <f>ROUND((J105-K105),5)</f>
        <v>0</v>
      </c>
      <c r="M105" s="4"/>
      <c r="N105" s="5"/>
      <c r="O105" s="5"/>
      <c r="P105" s="5"/>
      <c r="Q105" s="5"/>
    </row>
    <row r="106" spans="1:18" outlineLevel="2" x14ac:dyDescent="0.25">
      <c r="A106" s="2"/>
      <c r="B106" s="2" t="s">
        <v>99</v>
      </c>
      <c r="C106" s="2"/>
      <c r="D106" s="2"/>
      <c r="E106" s="2"/>
      <c r="F106" s="3">
        <f>ROUND(SUM(F102:F105),5)</f>
        <v>500</v>
      </c>
      <c r="G106" s="3">
        <f>ROUND(SUM(G102:G105),5)</f>
        <v>500</v>
      </c>
      <c r="H106" s="3">
        <f>ROUND((F106-G106),5)</f>
        <v>0</v>
      </c>
      <c r="I106" s="4"/>
      <c r="J106" s="3">
        <f>ROUND(SUM(J102:J105),5)</f>
        <v>0</v>
      </c>
      <c r="K106" s="3">
        <f>ROUND(SUM(K102:K105),5)</f>
        <v>700</v>
      </c>
      <c r="L106" s="3">
        <f>ROUND((J106-K106),5)</f>
        <v>-700</v>
      </c>
      <c r="M106" s="4"/>
      <c r="N106" s="3">
        <f>ROUND(SUM(N102:N105),5)</f>
        <v>1300</v>
      </c>
      <c r="O106" s="3"/>
      <c r="P106" s="3"/>
      <c r="Q106" s="7">
        <f>ROUND(SUM(Q102:Q105),5)</f>
        <v>900</v>
      </c>
    </row>
    <row r="107" spans="1:18" outlineLevel="3" x14ac:dyDescent="0.25">
      <c r="A107" s="2"/>
      <c r="B107" s="2" t="s">
        <v>100</v>
      </c>
      <c r="C107" s="2"/>
      <c r="D107" s="2"/>
      <c r="E107" s="2"/>
      <c r="F107" s="3"/>
      <c r="G107" s="3"/>
      <c r="H107" s="3"/>
      <c r="I107" s="4"/>
      <c r="J107" s="3"/>
      <c r="K107" s="3"/>
      <c r="L107" s="3"/>
      <c r="M107" s="4"/>
      <c r="N107" s="3"/>
      <c r="O107" s="3"/>
      <c r="P107" s="3"/>
      <c r="Q107" s="3"/>
    </row>
    <row r="108" spans="1:18" outlineLevel="3" x14ac:dyDescent="0.25">
      <c r="A108" s="2"/>
      <c r="B108" s="2"/>
      <c r="C108" s="2" t="s">
        <v>101</v>
      </c>
      <c r="D108" s="2"/>
      <c r="E108" s="2"/>
      <c r="F108" s="3">
        <v>492.29</v>
      </c>
      <c r="G108" s="3">
        <v>400</v>
      </c>
      <c r="H108" s="3">
        <f>ROUND((F108-G108),5)</f>
        <v>92.29</v>
      </c>
      <c r="I108" s="4"/>
      <c r="J108" s="3">
        <v>0</v>
      </c>
      <c r="K108" s="3">
        <v>0</v>
      </c>
      <c r="L108" s="3">
        <f t="shared" ref="L108:L113" si="8">ROUND((J108-K108),5)</f>
        <v>0</v>
      </c>
      <c r="M108" s="4"/>
      <c r="N108" s="3">
        <v>500</v>
      </c>
      <c r="O108" s="3" t="s">
        <v>131</v>
      </c>
      <c r="P108" s="3" t="s">
        <v>171</v>
      </c>
      <c r="Q108" s="3">
        <v>0</v>
      </c>
      <c r="R108" s="66" t="s">
        <v>247</v>
      </c>
    </row>
    <row r="109" spans="1:18" outlineLevel="3" x14ac:dyDescent="0.25">
      <c r="A109" s="2"/>
      <c r="B109" s="2"/>
      <c r="C109" s="2" t="s">
        <v>62</v>
      </c>
      <c r="D109" s="2"/>
      <c r="E109" s="2"/>
      <c r="F109" s="3">
        <v>336.42</v>
      </c>
      <c r="G109" s="3">
        <v>300</v>
      </c>
      <c r="H109" s="3">
        <f>ROUND((F109-G109),5)</f>
        <v>36.42</v>
      </c>
      <c r="I109" s="4"/>
      <c r="J109" s="3">
        <v>0</v>
      </c>
      <c r="K109" s="3">
        <v>300</v>
      </c>
      <c r="L109" s="3">
        <f t="shared" si="8"/>
        <v>-300</v>
      </c>
      <c r="M109" s="4"/>
      <c r="N109" s="3">
        <v>325</v>
      </c>
      <c r="O109" s="3"/>
      <c r="P109" s="3"/>
      <c r="Q109" s="3">
        <v>325</v>
      </c>
    </row>
    <row r="110" spans="1:18" outlineLevel="3" x14ac:dyDescent="0.25">
      <c r="A110" s="2"/>
      <c r="B110" s="2"/>
      <c r="C110" s="2" t="s">
        <v>102</v>
      </c>
      <c r="D110" s="2"/>
      <c r="E110" s="2"/>
      <c r="F110" s="3">
        <v>19.32</v>
      </c>
      <c r="G110" s="3">
        <v>50</v>
      </c>
      <c r="H110" s="3">
        <f>ROUND((F110-G110),5)</f>
        <v>-30.68</v>
      </c>
      <c r="I110" s="4"/>
      <c r="J110" s="3">
        <v>0</v>
      </c>
      <c r="K110" s="3">
        <v>50</v>
      </c>
      <c r="L110" s="3">
        <f t="shared" si="8"/>
        <v>-50</v>
      </c>
      <c r="M110" s="4"/>
      <c r="N110" s="3">
        <v>50</v>
      </c>
      <c r="O110" s="3" t="s">
        <v>215</v>
      </c>
      <c r="P110" s="3"/>
      <c r="Q110" s="3">
        <v>50</v>
      </c>
    </row>
    <row r="111" spans="1:18" ht="15.75" outlineLevel="3" thickBot="1" x14ac:dyDescent="0.3">
      <c r="A111" s="2"/>
      <c r="B111" s="2"/>
      <c r="C111" s="2" t="s">
        <v>103</v>
      </c>
      <c r="D111" s="2"/>
      <c r="E111" s="2"/>
      <c r="F111" s="5">
        <v>433.3</v>
      </c>
      <c r="G111" s="5">
        <v>400</v>
      </c>
      <c r="H111" s="5">
        <f>ROUND((F111-G111),5)</f>
        <v>33.299999999999997</v>
      </c>
      <c r="I111" s="4"/>
      <c r="J111" s="3">
        <v>0</v>
      </c>
      <c r="K111" s="3">
        <v>400</v>
      </c>
      <c r="L111" s="3">
        <f t="shared" si="8"/>
        <v>-400</v>
      </c>
      <c r="M111" s="4"/>
      <c r="N111" s="5">
        <v>400</v>
      </c>
      <c r="O111" s="3" t="s">
        <v>215</v>
      </c>
      <c r="P111" s="3"/>
      <c r="Q111" s="3">
        <v>400</v>
      </c>
    </row>
    <row r="112" spans="1:18" ht="15.75" hidden="1" outlineLevel="3" thickBot="1" x14ac:dyDescent="0.3">
      <c r="A112" s="2"/>
      <c r="B112" s="2"/>
      <c r="C112" s="2" t="s">
        <v>104</v>
      </c>
      <c r="D112" s="2"/>
      <c r="E112" s="2"/>
      <c r="F112" s="5">
        <v>0</v>
      </c>
      <c r="G112" s="5"/>
      <c r="H112" s="5"/>
      <c r="I112" s="4"/>
      <c r="J112" s="5">
        <v>0</v>
      </c>
      <c r="K112" s="5">
        <v>0</v>
      </c>
      <c r="L112" s="5">
        <f t="shared" si="8"/>
        <v>0</v>
      </c>
      <c r="M112" s="4"/>
      <c r="N112" s="5"/>
      <c r="O112" s="5"/>
      <c r="P112" s="5"/>
      <c r="Q112" s="5"/>
    </row>
    <row r="113" spans="1:18" outlineLevel="2" x14ac:dyDescent="0.25">
      <c r="A113" s="2"/>
      <c r="B113" s="2" t="s">
        <v>105</v>
      </c>
      <c r="C113" s="2"/>
      <c r="D113" s="2"/>
      <c r="E113" s="2"/>
      <c r="F113" s="3">
        <f>ROUND(SUM(F107:F112),5)</f>
        <v>1281.33</v>
      </c>
      <c r="G113" s="3">
        <f>ROUND(SUM(G107:G112),5)</f>
        <v>1150</v>
      </c>
      <c r="H113" s="3">
        <f>ROUND((F113-G113),5)</f>
        <v>131.33000000000001</v>
      </c>
      <c r="I113" s="4"/>
      <c r="J113" s="7">
        <f>ROUND(SUM(J107:J112),5)</f>
        <v>0</v>
      </c>
      <c r="K113" s="7">
        <f>ROUND(SUM(K107:K112),5)</f>
        <v>750</v>
      </c>
      <c r="L113" s="7">
        <f t="shared" si="8"/>
        <v>-750</v>
      </c>
      <c r="M113" s="4"/>
      <c r="N113" s="3">
        <f>ROUND(SUM(N107:N112),5)</f>
        <v>1275</v>
      </c>
      <c r="O113" s="3"/>
      <c r="P113" s="3"/>
      <c r="Q113" s="7">
        <f>ROUND(SUM(Q107:Q112),5)</f>
        <v>775</v>
      </c>
    </row>
    <row r="114" spans="1:18" outlineLevel="3" x14ac:dyDescent="0.25">
      <c r="A114" s="2"/>
      <c r="B114" s="2" t="s">
        <v>106</v>
      </c>
      <c r="C114" s="2"/>
      <c r="D114" s="2"/>
      <c r="E114" s="2"/>
      <c r="F114" s="3"/>
      <c r="G114" s="3"/>
      <c r="H114" s="3"/>
      <c r="I114" s="4"/>
      <c r="J114" s="3"/>
      <c r="K114" s="3"/>
      <c r="L114" s="3"/>
      <c r="M114" s="4"/>
      <c r="N114" s="3"/>
      <c r="O114" s="3"/>
      <c r="P114" s="3"/>
      <c r="Q114" s="3"/>
    </row>
    <row r="115" spans="1:18" outlineLevel="3" x14ac:dyDescent="0.25">
      <c r="A115" s="2"/>
      <c r="B115" s="2"/>
      <c r="C115" s="2" t="s">
        <v>107</v>
      </c>
      <c r="D115" s="2"/>
      <c r="E115" s="2"/>
      <c r="F115" s="3">
        <v>200</v>
      </c>
      <c r="G115" s="3">
        <v>200</v>
      </c>
      <c r="H115" s="3">
        <f t="shared" ref="H115:H124" si="9">ROUND((F115-G115),5)</f>
        <v>0</v>
      </c>
      <c r="I115" s="4"/>
      <c r="J115" s="3">
        <v>0</v>
      </c>
      <c r="K115" s="3">
        <v>100</v>
      </c>
      <c r="L115" s="3">
        <f t="shared" ref="L115:L126" si="10">ROUND((J115-K115),5)</f>
        <v>-100</v>
      </c>
      <c r="M115" s="4"/>
      <c r="N115" s="3">
        <v>200</v>
      </c>
      <c r="O115" s="3"/>
      <c r="P115" s="60" t="s">
        <v>189</v>
      </c>
      <c r="Q115" s="60">
        <v>200</v>
      </c>
      <c r="R115" s="85"/>
    </row>
    <row r="116" spans="1:18" outlineLevel="3" x14ac:dyDescent="0.25">
      <c r="A116" s="2"/>
      <c r="B116" s="2"/>
      <c r="C116" s="2" t="s">
        <v>108</v>
      </c>
      <c r="D116" s="2"/>
      <c r="E116" s="2"/>
      <c r="F116" s="3">
        <v>0</v>
      </c>
      <c r="G116" s="3">
        <v>200</v>
      </c>
      <c r="H116" s="3">
        <f t="shared" si="9"/>
        <v>-200</v>
      </c>
      <c r="I116" s="4"/>
      <c r="J116" s="3">
        <v>0</v>
      </c>
      <c r="K116" s="3">
        <v>400</v>
      </c>
      <c r="L116" s="3">
        <f t="shared" si="10"/>
        <v>-400</v>
      </c>
      <c r="M116" s="4"/>
      <c r="N116" s="3">
        <v>150</v>
      </c>
      <c r="O116" s="3" t="s">
        <v>135</v>
      </c>
      <c r="P116" s="3"/>
      <c r="Q116" s="3">
        <v>150</v>
      </c>
    </row>
    <row r="117" spans="1:18" outlineLevel="3" x14ac:dyDescent="0.25">
      <c r="A117" s="2"/>
      <c r="B117" s="2"/>
      <c r="C117" s="2" t="s">
        <v>109</v>
      </c>
      <c r="D117" s="2"/>
      <c r="E117" s="2"/>
      <c r="F117" s="3">
        <v>0</v>
      </c>
      <c r="G117" s="3">
        <v>0</v>
      </c>
      <c r="H117" s="3">
        <f t="shared" si="9"/>
        <v>0</v>
      </c>
      <c r="I117" s="4"/>
      <c r="J117" s="3">
        <v>0</v>
      </c>
      <c r="K117" s="3">
        <v>0</v>
      </c>
      <c r="L117" s="3">
        <f t="shared" si="10"/>
        <v>0</v>
      </c>
      <c r="M117" s="4"/>
      <c r="N117" s="3">
        <v>0</v>
      </c>
      <c r="O117" s="3"/>
      <c r="P117" s="3" t="s">
        <v>217</v>
      </c>
      <c r="Q117" s="3">
        <v>0</v>
      </c>
    </row>
    <row r="118" spans="1:18" outlineLevel="3" x14ac:dyDescent="0.25">
      <c r="A118" s="2"/>
      <c r="B118" s="2"/>
      <c r="C118" s="2" t="s">
        <v>110</v>
      </c>
      <c r="D118" s="2"/>
      <c r="E118" s="2"/>
      <c r="F118" s="3">
        <v>2</v>
      </c>
      <c r="G118" s="3">
        <v>25</v>
      </c>
      <c r="H118" s="3">
        <f t="shared" si="9"/>
        <v>-23</v>
      </c>
      <c r="I118" s="4"/>
      <c r="J118" s="3">
        <v>0</v>
      </c>
      <c r="K118" s="3">
        <v>25</v>
      </c>
      <c r="L118" s="3">
        <f t="shared" si="10"/>
        <v>-25</v>
      </c>
      <c r="M118" s="4"/>
      <c r="N118" s="3">
        <v>50</v>
      </c>
      <c r="O118" s="3" t="s">
        <v>135</v>
      </c>
      <c r="P118" s="3"/>
      <c r="Q118" s="3">
        <v>25</v>
      </c>
    </row>
    <row r="119" spans="1:18" outlineLevel="3" x14ac:dyDescent="0.25">
      <c r="A119" s="2"/>
      <c r="B119" s="2"/>
      <c r="C119" s="2" t="s">
        <v>111</v>
      </c>
      <c r="D119" s="2"/>
      <c r="E119" s="2"/>
      <c r="F119" s="3">
        <v>2499.88</v>
      </c>
      <c r="G119" s="3">
        <v>2000</v>
      </c>
      <c r="H119" s="3">
        <f t="shared" si="9"/>
        <v>499.88</v>
      </c>
      <c r="I119" s="4"/>
      <c r="J119" s="3">
        <v>70</v>
      </c>
      <c r="K119" s="3">
        <v>3000</v>
      </c>
      <c r="L119" s="3">
        <f t="shared" si="10"/>
        <v>-2930</v>
      </c>
      <c r="M119" s="4"/>
      <c r="N119" s="3">
        <v>3000</v>
      </c>
      <c r="O119" s="3" t="s">
        <v>136</v>
      </c>
      <c r="P119" s="3"/>
      <c r="Q119" s="3">
        <v>3000</v>
      </c>
    </row>
    <row r="120" spans="1:18" outlineLevel="3" x14ac:dyDescent="0.25">
      <c r="A120" s="2"/>
      <c r="B120" s="2"/>
      <c r="C120" s="2" t="s">
        <v>14</v>
      </c>
      <c r="D120" s="2"/>
      <c r="E120" s="2"/>
      <c r="F120" s="3">
        <v>1668.13</v>
      </c>
      <c r="G120" s="3">
        <v>1500</v>
      </c>
      <c r="H120" s="3">
        <f t="shared" si="9"/>
        <v>168.13</v>
      </c>
      <c r="I120" s="4"/>
      <c r="J120" s="3">
        <v>1769.85</v>
      </c>
      <c r="K120" s="3">
        <v>1200</v>
      </c>
      <c r="L120" s="3">
        <f t="shared" si="10"/>
        <v>569.85</v>
      </c>
      <c r="M120" s="4"/>
      <c r="N120" s="3">
        <v>1500</v>
      </c>
      <c r="O120" s="3" t="s">
        <v>172</v>
      </c>
      <c r="P120" s="3"/>
      <c r="Q120" s="3">
        <v>1500</v>
      </c>
    </row>
    <row r="121" spans="1:18" outlineLevel="3" x14ac:dyDescent="0.25">
      <c r="A121" s="2"/>
      <c r="B121" s="2"/>
      <c r="C121" s="2" t="s">
        <v>112</v>
      </c>
      <c r="D121" s="2"/>
      <c r="E121" s="2"/>
      <c r="F121" s="3">
        <v>83</v>
      </c>
      <c r="G121" s="3">
        <v>100</v>
      </c>
      <c r="H121" s="3">
        <f t="shared" si="9"/>
        <v>-17</v>
      </c>
      <c r="I121" s="4"/>
      <c r="J121" s="3">
        <v>0</v>
      </c>
      <c r="K121" s="3">
        <v>150</v>
      </c>
      <c r="L121" s="3">
        <f t="shared" si="10"/>
        <v>-150</v>
      </c>
      <c r="M121" s="4"/>
      <c r="N121" s="3">
        <v>150</v>
      </c>
      <c r="O121" s="3" t="s">
        <v>212</v>
      </c>
      <c r="P121" s="3"/>
      <c r="Q121" s="3">
        <v>100</v>
      </c>
    </row>
    <row r="122" spans="1:18" outlineLevel="3" x14ac:dyDescent="0.25">
      <c r="A122" s="2"/>
      <c r="B122" s="2"/>
      <c r="C122" s="2" t="s">
        <v>113</v>
      </c>
      <c r="D122" s="2"/>
      <c r="E122" s="2"/>
      <c r="F122" s="3">
        <v>0</v>
      </c>
      <c r="G122" s="3">
        <v>0</v>
      </c>
      <c r="H122" s="3">
        <f t="shared" si="9"/>
        <v>0</v>
      </c>
      <c r="I122" s="4"/>
      <c r="J122" s="3">
        <v>0</v>
      </c>
      <c r="K122" s="3">
        <v>1500</v>
      </c>
      <c r="L122" s="3">
        <f t="shared" si="10"/>
        <v>-1500</v>
      </c>
      <c r="M122" s="4"/>
      <c r="N122" s="3">
        <v>0</v>
      </c>
      <c r="O122" s="3"/>
      <c r="P122" s="3" t="s">
        <v>173</v>
      </c>
      <c r="Q122" s="3">
        <v>0</v>
      </c>
    </row>
    <row r="123" spans="1:18" outlineLevel="3" x14ac:dyDescent="0.25">
      <c r="A123" s="2"/>
      <c r="B123" s="2"/>
      <c r="C123" s="2" t="s">
        <v>114</v>
      </c>
      <c r="D123" s="2"/>
      <c r="E123" s="2"/>
      <c r="F123" s="3">
        <v>994.61</v>
      </c>
      <c r="G123" s="3">
        <v>1200</v>
      </c>
      <c r="H123" s="3">
        <f t="shared" si="9"/>
        <v>-205.39</v>
      </c>
      <c r="I123" s="4"/>
      <c r="J123" s="3">
        <v>1067.47</v>
      </c>
      <c r="K123" s="3">
        <v>1200</v>
      </c>
      <c r="L123" s="3">
        <f t="shared" si="10"/>
        <v>-132.53</v>
      </c>
      <c r="M123" s="4"/>
      <c r="N123" s="3">
        <v>1200</v>
      </c>
      <c r="O123" s="3" t="s">
        <v>170</v>
      </c>
      <c r="P123" s="3" t="s">
        <v>162</v>
      </c>
      <c r="Q123" s="3">
        <v>1200</v>
      </c>
    </row>
    <row r="124" spans="1:18" ht="15.75" outlineLevel="3" thickBot="1" x14ac:dyDescent="0.3">
      <c r="A124" s="2"/>
      <c r="B124" s="2"/>
      <c r="C124" s="2" t="s">
        <v>17</v>
      </c>
      <c r="D124" s="2"/>
      <c r="E124" s="2"/>
      <c r="F124" s="5">
        <v>730.85</v>
      </c>
      <c r="G124" s="5">
        <v>1500</v>
      </c>
      <c r="H124" s="5">
        <f t="shared" si="9"/>
        <v>-769.15</v>
      </c>
      <c r="I124" s="4"/>
      <c r="J124" s="5">
        <v>828.37</v>
      </c>
      <c r="K124" s="5">
        <v>1200</v>
      </c>
      <c r="L124" s="5">
        <f t="shared" si="10"/>
        <v>-371.63</v>
      </c>
      <c r="M124" s="4"/>
      <c r="N124" s="24">
        <v>1500</v>
      </c>
      <c r="O124" s="3"/>
      <c r="P124" s="3"/>
      <c r="Q124" s="5">
        <v>1500</v>
      </c>
    </row>
    <row r="125" spans="1:18" ht="15.75" hidden="1" outlineLevel="3" thickBot="1" x14ac:dyDescent="0.3">
      <c r="A125" s="2"/>
      <c r="B125" s="2"/>
      <c r="C125" s="2" t="s">
        <v>115</v>
      </c>
      <c r="D125" s="2"/>
      <c r="E125" s="2"/>
      <c r="F125" s="5">
        <v>0</v>
      </c>
      <c r="G125" s="5"/>
      <c r="H125" s="5"/>
      <c r="I125" s="4"/>
      <c r="J125" s="5">
        <v>0</v>
      </c>
      <c r="K125" s="5">
        <v>0</v>
      </c>
      <c r="L125" s="5">
        <f t="shared" si="10"/>
        <v>0</v>
      </c>
      <c r="M125" s="4"/>
      <c r="N125" s="5"/>
      <c r="O125" s="5"/>
      <c r="P125" s="5"/>
      <c r="Q125" s="5"/>
    </row>
    <row r="126" spans="1:18" outlineLevel="2" x14ac:dyDescent="0.25">
      <c r="A126" s="2"/>
      <c r="B126" s="2" t="s">
        <v>116</v>
      </c>
      <c r="C126" s="2"/>
      <c r="D126" s="2"/>
      <c r="E126" s="2"/>
      <c r="F126" s="3">
        <f>ROUND(SUM(F114:F125),5)</f>
        <v>6178.47</v>
      </c>
      <c r="G126" s="3">
        <f>ROUND(SUM(G114:G125),5)</f>
        <v>6725</v>
      </c>
      <c r="H126" s="3">
        <f>ROUND((F126-G126),5)</f>
        <v>-546.53</v>
      </c>
      <c r="I126" s="4"/>
      <c r="J126" s="3">
        <f>ROUND(SUM(J114:J125),5)</f>
        <v>3735.69</v>
      </c>
      <c r="K126" s="3">
        <f>ROUND(SUM(K114:K125),5)</f>
        <v>8775</v>
      </c>
      <c r="L126" s="3">
        <f t="shared" si="10"/>
        <v>-5039.3100000000004</v>
      </c>
      <c r="M126" s="4"/>
      <c r="N126" s="7">
        <f>ROUND(SUM(N114:N125),5)</f>
        <v>7750</v>
      </c>
      <c r="O126" s="3"/>
      <c r="P126" s="3"/>
      <c r="Q126" s="3">
        <f>ROUND(SUM(Q114:Q125),5)</f>
        <v>7675</v>
      </c>
    </row>
    <row r="127" spans="1:18" outlineLevel="3" x14ac:dyDescent="0.25">
      <c r="A127" s="2"/>
      <c r="B127" s="2" t="s">
        <v>117</v>
      </c>
      <c r="C127" s="2"/>
      <c r="D127" s="2"/>
      <c r="E127" s="2"/>
      <c r="F127" s="3"/>
      <c r="G127" s="3"/>
      <c r="H127" s="3"/>
      <c r="I127" s="4"/>
      <c r="J127" s="3"/>
      <c r="K127" s="3"/>
      <c r="L127" s="3"/>
      <c r="M127" s="4"/>
      <c r="N127" s="3"/>
      <c r="O127" s="3"/>
      <c r="P127" s="3"/>
      <c r="Q127" s="3"/>
    </row>
    <row r="128" spans="1:18" ht="15.75" outlineLevel="3" thickBot="1" x14ac:dyDescent="0.3">
      <c r="A128" s="2"/>
      <c r="B128" s="2"/>
      <c r="C128" s="2" t="s">
        <v>118</v>
      </c>
      <c r="D128" s="2"/>
      <c r="E128" s="2"/>
      <c r="F128" s="5">
        <v>0</v>
      </c>
      <c r="G128" s="5">
        <v>0</v>
      </c>
      <c r="H128" s="5">
        <f>ROUND((F128-G128),5)</f>
        <v>0</v>
      </c>
      <c r="I128" s="4"/>
      <c r="J128" s="5">
        <v>0</v>
      </c>
      <c r="K128" s="5">
        <v>1000</v>
      </c>
      <c r="L128" s="5">
        <f t="shared" ref="L128:L133" si="11">ROUND((J128-K128),5)</f>
        <v>-1000</v>
      </c>
      <c r="M128" s="4"/>
      <c r="N128" s="5">
        <v>1000</v>
      </c>
      <c r="O128" s="25"/>
      <c r="P128" s="3" t="s">
        <v>210</v>
      </c>
      <c r="Q128" s="5">
        <v>1000</v>
      </c>
    </row>
    <row r="129" spans="1:18" ht="15.75" hidden="1" outlineLevel="3" thickBot="1" x14ac:dyDescent="0.3">
      <c r="A129" s="2"/>
      <c r="B129" s="2"/>
      <c r="C129" s="2" t="s">
        <v>119</v>
      </c>
      <c r="D129" s="2"/>
      <c r="E129" s="2"/>
      <c r="F129" s="5">
        <v>800</v>
      </c>
      <c r="G129" s="5">
        <v>800</v>
      </c>
      <c r="H129" s="5">
        <f>ROUND((F129-G129),5)</f>
        <v>0</v>
      </c>
      <c r="I129" s="4"/>
      <c r="J129" s="5">
        <v>0</v>
      </c>
      <c r="K129" s="5">
        <v>0</v>
      </c>
      <c r="L129" s="5">
        <f t="shared" si="11"/>
        <v>0</v>
      </c>
      <c r="M129" s="4"/>
      <c r="N129" s="5"/>
      <c r="O129" s="5"/>
      <c r="P129" s="5"/>
      <c r="Q129" s="5"/>
    </row>
    <row r="130" spans="1:18" ht="15.75" outlineLevel="2" thickBot="1" x14ac:dyDescent="0.3">
      <c r="A130" s="2"/>
      <c r="B130" s="2" t="s">
        <v>120</v>
      </c>
      <c r="C130" s="2"/>
      <c r="D130" s="2"/>
      <c r="E130" s="2"/>
      <c r="F130" s="3">
        <f>ROUND(SUM(F127:F129),5)</f>
        <v>800</v>
      </c>
      <c r="G130" s="3">
        <f>ROUND(SUM(G127:G129),5)</f>
        <v>800</v>
      </c>
      <c r="H130" s="3">
        <f>ROUND((F130-G130),5)</f>
        <v>0</v>
      </c>
      <c r="I130" s="4"/>
      <c r="J130" s="3">
        <f>ROUND(SUM(J127:J129),5)</f>
        <v>0</v>
      </c>
      <c r="K130" s="3">
        <f>ROUND(SUM(K127:K129),5)</f>
        <v>1000</v>
      </c>
      <c r="L130" s="3">
        <f t="shared" si="11"/>
        <v>-1000</v>
      </c>
      <c r="M130" s="4"/>
      <c r="N130" s="3">
        <f>ROUND(SUM(N127:N129),5)</f>
        <v>1000</v>
      </c>
      <c r="O130" s="3"/>
      <c r="P130" s="3"/>
      <c r="Q130" s="3">
        <f>ROUND(SUM(Q127:Q129),5)</f>
        <v>1000</v>
      </c>
    </row>
    <row r="131" spans="1:18" ht="15.75" hidden="1" outlineLevel="2" thickBot="1" x14ac:dyDescent="0.3">
      <c r="A131" s="2"/>
      <c r="B131" s="2" t="s">
        <v>121</v>
      </c>
      <c r="C131" s="2"/>
      <c r="D131" s="2"/>
      <c r="E131" s="2"/>
      <c r="F131" s="6">
        <v>0</v>
      </c>
      <c r="G131" s="6"/>
      <c r="H131" s="6"/>
      <c r="I131" s="4"/>
      <c r="J131" s="6">
        <v>0</v>
      </c>
      <c r="K131" s="6">
        <v>0</v>
      </c>
      <c r="L131" s="6">
        <f t="shared" si="11"/>
        <v>0</v>
      </c>
      <c r="M131" s="4"/>
      <c r="N131" s="6"/>
      <c r="O131" s="6"/>
      <c r="P131" s="6"/>
      <c r="Q131" s="6"/>
    </row>
    <row r="132" spans="1:18" s="20" customFormat="1" ht="18" customHeight="1" outlineLevel="1" thickBot="1" x14ac:dyDescent="0.25">
      <c r="A132" s="14" t="s">
        <v>122</v>
      </c>
      <c r="B132" s="14"/>
      <c r="C132" s="14"/>
      <c r="D132" s="14"/>
      <c r="E132" s="14"/>
      <c r="F132" s="19">
        <f>ROUND(F22+F34+F38+F57+F101+F106+F113+F126+SUM(F130:F131),5)</f>
        <v>67823.92</v>
      </c>
      <c r="G132" s="19">
        <f>ROUND(G22+G34+G38+G57+G101+G106+G113+G126+SUM(G130:G131),5)</f>
        <v>71357</v>
      </c>
      <c r="H132" s="19">
        <f>ROUND((F132-G132),5)</f>
        <v>-3533.08</v>
      </c>
      <c r="I132" s="14"/>
      <c r="J132" s="19">
        <f>ROUND(J22+J34+J38+J57+J101+J106+J113+J126+SUM(J130:J131),5)</f>
        <v>56945.58</v>
      </c>
      <c r="K132" s="19">
        <f>ROUND(K22+K34+K38+K57+K101+K106+K113+K126+SUM(K130:K131),5)</f>
        <v>74870</v>
      </c>
      <c r="L132" s="19">
        <f t="shared" si="11"/>
        <v>-17924.419999999998</v>
      </c>
      <c r="M132" s="14"/>
      <c r="N132" s="19">
        <f>ROUND(N22+N34+N38+N57+N101+N106+N113+N126+SUM(N130:N131),5)</f>
        <v>74346</v>
      </c>
      <c r="O132" s="19"/>
      <c r="P132" s="19"/>
      <c r="Q132" s="19">
        <f>ROUND(Q22+Q34+Q38+Q57+Q101+Q106+Q113+Q126+SUM(Q130:Q131),5)</f>
        <v>77376</v>
      </c>
      <c r="R132" s="84"/>
    </row>
    <row r="133" spans="1:18" s="17" customFormat="1" ht="18" customHeight="1" thickBot="1" x14ac:dyDescent="0.25">
      <c r="A133" s="14" t="s">
        <v>123</v>
      </c>
      <c r="B133" s="14"/>
      <c r="C133" s="14"/>
      <c r="D133" s="14"/>
      <c r="E133" s="14"/>
      <c r="F133" s="18">
        <f>ROUND(F21-F132,5)</f>
        <v>303.95999999999998</v>
      </c>
      <c r="G133" s="18">
        <f>ROUND(G21-G132,5)</f>
        <v>-6022</v>
      </c>
      <c r="H133" s="18">
        <f>ROUND((F133-G133),5)</f>
        <v>6325.96</v>
      </c>
      <c r="I133" s="14"/>
      <c r="J133" s="18">
        <f>ROUND(J21-J132,5)</f>
        <v>11938.41</v>
      </c>
      <c r="K133" s="18">
        <f>ROUND(K21-K132,5)</f>
        <v>-6815</v>
      </c>
      <c r="L133" s="18">
        <f t="shared" si="11"/>
        <v>18753.41</v>
      </c>
      <c r="M133" s="14"/>
      <c r="N133" s="18">
        <f>ROUND(N21-N132,5)</f>
        <v>2624.1084999999998</v>
      </c>
      <c r="O133" s="18"/>
      <c r="P133" s="18"/>
      <c r="Q133" s="18">
        <f>ROUND(Q21-Q132,5)</f>
        <v>-406</v>
      </c>
      <c r="R133" s="86"/>
    </row>
    <row r="134" spans="1:18" ht="15.75" thickTop="1" x14ac:dyDescent="0.25"/>
    <row r="135" spans="1:18" x14ac:dyDescent="0.25">
      <c r="N135" s="87" t="s">
        <v>203</v>
      </c>
    </row>
    <row r="136" spans="1:18" x14ac:dyDescent="0.25">
      <c r="N136" s="88" t="s">
        <v>204</v>
      </c>
    </row>
  </sheetData>
  <mergeCells count="3">
    <mergeCell ref="F1:H1"/>
    <mergeCell ref="J1:L1"/>
    <mergeCell ref="N1:Q1"/>
  </mergeCells>
  <pageMargins left="0.70866141732283472" right="0.70866141732283472" top="0.74803149606299213" bottom="0.55118110236220474" header="0.31496062992125984" footer="0.31496062992125984"/>
  <pageSetup scale="85" fitToHeight="0" orientation="landscape" r:id="rId1"/>
  <headerFooter>
    <oddHeader>&amp;C&amp;"Arial,Bold"&amp;12 Alberta Registered Music Teachers' Association
&amp;14 Profit &amp;&amp; Loss Budget vs. Actual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9525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9525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F134A-EE8C-4E33-AAF2-BE92C6E505D2}">
  <sheetPr>
    <pageSetUpPr fitToPage="1"/>
  </sheetPr>
  <dimension ref="A1:P34"/>
  <sheetViews>
    <sheetView workbookViewId="0">
      <selection activeCell="N13" sqref="N13"/>
    </sheetView>
  </sheetViews>
  <sheetFormatPr defaultRowHeight="14.25" x14ac:dyDescent="0.2"/>
  <cols>
    <col min="1" max="1" width="4" style="28" customWidth="1"/>
    <col min="2" max="2" width="19.5703125" style="28" customWidth="1"/>
    <col min="3" max="7" width="9.140625" style="28"/>
    <col min="8" max="8" width="9.7109375" style="28" bestFit="1" customWidth="1"/>
    <col min="9" max="10" width="9.140625" style="28"/>
    <col min="11" max="11" width="18.5703125" style="28" customWidth="1"/>
    <col min="12" max="12" width="9.85546875" style="28" customWidth="1"/>
    <col min="13" max="13" width="9.140625" style="28"/>
    <col min="14" max="14" width="46.42578125" style="28" customWidth="1"/>
    <col min="15" max="16384" width="9.140625" style="28"/>
  </cols>
  <sheetData>
    <row r="1" spans="1:16" ht="15.75" x14ac:dyDescent="0.2">
      <c r="A1" s="62" t="s">
        <v>137</v>
      </c>
    </row>
    <row r="2" spans="1:16" ht="15" x14ac:dyDescent="0.2">
      <c r="A2" s="63" t="s">
        <v>138</v>
      </c>
    </row>
    <row r="3" spans="1:16" ht="15" x14ac:dyDescent="0.2">
      <c r="A3" s="29"/>
    </row>
    <row r="4" spans="1:16" x14ac:dyDescent="0.2">
      <c r="A4" s="30" t="s">
        <v>139</v>
      </c>
    </row>
    <row r="5" spans="1:16" x14ac:dyDescent="0.2">
      <c r="B5" s="31" t="s">
        <v>190</v>
      </c>
    </row>
    <row r="6" spans="1:16" x14ac:dyDescent="0.2">
      <c r="B6" s="32" t="s">
        <v>191</v>
      </c>
    </row>
    <row r="7" spans="1:16" x14ac:dyDescent="0.2">
      <c r="B7" s="33" t="s">
        <v>192</v>
      </c>
    </row>
    <row r="8" spans="1:16" s="48" customFormat="1" ht="32.25" thickBot="1" x14ac:dyDescent="0.25">
      <c r="A8" s="50" t="s">
        <v>140</v>
      </c>
      <c r="B8" s="51"/>
      <c r="C8" s="51"/>
      <c r="D8" s="51"/>
      <c r="E8" s="51"/>
      <c r="F8" s="51"/>
      <c r="G8" s="50" t="s">
        <v>141</v>
      </c>
      <c r="H8" s="83" t="s">
        <v>142</v>
      </c>
      <c r="I8" s="51"/>
      <c r="J8" s="51"/>
      <c r="K8" s="83" t="s">
        <v>198</v>
      </c>
      <c r="L8" s="83" t="s">
        <v>255</v>
      </c>
      <c r="M8" s="51"/>
      <c r="N8" s="49"/>
      <c r="P8" s="29" t="s">
        <v>141</v>
      </c>
    </row>
    <row r="9" spans="1:16" x14ac:dyDescent="0.2">
      <c r="A9" s="34" t="s">
        <v>143</v>
      </c>
    </row>
    <row r="10" spans="1:16" x14ac:dyDescent="0.2">
      <c r="A10" s="30" t="s">
        <v>144</v>
      </c>
      <c r="C10" s="30" t="s">
        <v>145</v>
      </c>
      <c r="H10" s="35">
        <v>4000</v>
      </c>
      <c r="K10" s="35">
        <v>2000</v>
      </c>
      <c r="L10" s="35">
        <v>2000</v>
      </c>
      <c r="M10" s="28" t="s">
        <v>158</v>
      </c>
    </row>
    <row r="11" spans="1:16" x14ac:dyDescent="0.2">
      <c r="A11" s="36" t="s">
        <v>193</v>
      </c>
      <c r="L11" s="79"/>
    </row>
    <row r="12" spans="1:16" x14ac:dyDescent="0.2">
      <c r="B12" s="30" t="s">
        <v>146</v>
      </c>
      <c r="H12" s="35">
        <v>250</v>
      </c>
      <c r="K12" s="30">
        <v>125</v>
      </c>
      <c r="L12" s="80">
        <v>125</v>
      </c>
      <c r="M12" s="28" t="s">
        <v>158</v>
      </c>
    </row>
    <row r="13" spans="1:16" x14ac:dyDescent="0.2">
      <c r="B13" s="37" t="s">
        <v>194</v>
      </c>
      <c r="H13" s="38">
        <v>500</v>
      </c>
      <c r="K13" s="37">
        <v>250</v>
      </c>
      <c r="L13" s="80">
        <v>250</v>
      </c>
      <c r="M13" s="28" t="s">
        <v>158</v>
      </c>
      <c r="N13" s="28" t="s">
        <v>249</v>
      </c>
    </row>
    <row r="14" spans="1:16" x14ac:dyDescent="0.2">
      <c r="A14" s="39"/>
      <c r="L14" s="79"/>
    </row>
    <row r="15" spans="1:16" x14ac:dyDescent="0.2">
      <c r="B15" s="39" t="s">
        <v>147</v>
      </c>
      <c r="H15" s="40">
        <v>3500</v>
      </c>
      <c r="K15" s="40">
        <v>2000</v>
      </c>
      <c r="L15" s="81">
        <v>2000</v>
      </c>
      <c r="M15" s="28" t="s">
        <v>158</v>
      </c>
    </row>
    <row r="16" spans="1:16" x14ac:dyDescent="0.2">
      <c r="B16" s="37" t="s">
        <v>195</v>
      </c>
      <c r="E16" s="37" t="s">
        <v>157</v>
      </c>
      <c r="K16" s="28">
        <v>250</v>
      </c>
      <c r="L16" s="79">
        <v>250</v>
      </c>
      <c r="M16" s="28" t="s">
        <v>158</v>
      </c>
      <c r="N16" s="28" t="s">
        <v>250</v>
      </c>
    </row>
    <row r="17" spans="1:14" ht="29.25" customHeight="1" x14ac:dyDescent="0.2">
      <c r="B17" s="92" t="s">
        <v>148</v>
      </c>
      <c r="C17" s="92"/>
      <c r="D17" s="92"/>
      <c r="E17" s="92"/>
      <c r="F17" s="92"/>
      <c r="G17" s="92"/>
      <c r="K17" s="41">
        <v>500</v>
      </c>
      <c r="L17" s="82">
        <v>500</v>
      </c>
      <c r="M17" s="28" t="s">
        <v>158</v>
      </c>
      <c r="N17" s="78" t="s">
        <v>251</v>
      </c>
    </row>
    <row r="18" spans="1:14" x14ac:dyDescent="0.2">
      <c r="A18" s="39" t="s">
        <v>196</v>
      </c>
      <c r="H18" s="42">
        <v>2000</v>
      </c>
      <c r="K18" s="40">
        <v>2000</v>
      </c>
      <c r="L18" s="81">
        <v>2000</v>
      </c>
      <c r="M18" s="28" t="s">
        <v>159</v>
      </c>
    </row>
    <row r="19" spans="1:14" x14ac:dyDescent="0.2">
      <c r="A19" s="39"/>
      <c r="H19" s="42"/>
      <c r="K19" s="40"/>
      <c r="L19" s="81"/>
    </row>
    <row r="20" spans="1:14" x14ac:dyDescent="0.2">
      <c r="A20" s="30" t="s">
        <v>149</v>
      </c>
      <c r="H20" s="35">
        <v>300</v>
      </c>
      <c r="K20" s="35">
        <v>300</v>
      </c>
      <c r="L20" s="81">
        <v>450</v>
      </c>
      <c r="N20" s="28" t="s">
        <v>252</v>
      </c>
    </row>
    <row r="21" spans="1:14" x14ac:dyDescent="0.2">
      <c r="A21" s="30" t="s">
        <v>150</v>
      </c>
      <c r="B21" s="30"/>
      <c r="H21" s="35">
        <v>4800</v>
      </c>
      <c r="K21" s="35">
        <v>5750</v>
      </c>
      <c r="L21" s="81">
        <f>5750</f>
        <v>5750</v>
      </c>
      <c r="N21" s="28" t="s">
        <v>253</v>
      </c>
    </row>
    <row r="22" spans="1:14" x14ac:dyDescent="0.2">
      <c r="A22" s="30"/>
      <c r="B22" s="43" t="s">
        <v>151</v>
      </c>
      <c r="L22" s="79"/>
    </row>
    <row r="23" spans="1:14" x14ac:dyDescent="0.2">
      <c r="L23" s="79"/>
    </row>
    <row r="24" spans="1:14" x14ac:dyDescent="0.2">
      <c r="A24" s="39" t="s">
        <v>152</v>
      </c>
      <c r="H24" s="40">
        <v>900</v>
      </c>
      <c r="K24" s="40">
        <v>900</v>
      </c>
      <c r="L24" s="81">
        <v>900</v>
      </c>
    </row>
    <row r="25" spans="1:14" x14ac:dyDescent="0.2">
      <c r="A25" s="43"/>
      <c r="L25" s="79"/>
    </row>
    <row r="26" spans="1:14" x14ac:dyDescent="0.2">
      <c r="A26" s="30" t="s">
        <v>153</v>
      </c>
      <c r="G26" s="39" t="s">
        <v>154</v>
      </c>
      <c r="H26" s="40">
        <v>8000</v>
      </c>
      <c r="K26" s="38">
        <v>8000</v>
      </c>
      <c r="L26" s="81">
        <v>8000</v>
      </c>
    </row>
    <row r="27" spans="1:14" x14ac:dyDescent="0.2">
      <c r="A27" s="43" t="s">
        <v>141</v>
      </c>
      <c r="L27" s="79"/>
    </row>
    <row r="28" spans="1:14" x14ac:dyDescent="0.2">
      <c r="A28" s="30" t="s">
        <v>155</v>
      </c>
      <c r="H28" s="35">
        <v>2000</v>
      </c>
      <c r="K28" s="35">
        <v>2000</v>
      </c>
      <c r="L28" s="35">
        <v>2000</v>
      </c>
    </row>
    <row r="29" spans="1:14" x14ac:dyDescent="0.2">
      <c r="A29" s="37" t="s">
        <v>156</v>
      </c>
      <c r="H29" s="40">
        <v>600</v>
      </c>
      <c r="K29" s="38">
        <v>900</v>
      </c>
      <c r="L29" s="81">
        <v>900</v>
      </c>
      <c r="N29" s="28" t="s">
        <v>254</v>
      </c>
    </row>
    <row r="30" spans="1:14" x14ac:dyDescent="0.2">
      <c r="A30" s="37"/>
    </row>
    <row r="31" spans="1:14" ht="15.75" customHeight="1" thickBot="1" x14ac:dyDescent="0.3">
      <c r="A31" s="52" t="s">
        <v>141</v>
      </c>
      <c r="B31" s="53" t="s">
        <v>199</v>
      </c>
      <c r="C31" s="54"/>
      <c r="D31" s="48"/>
      <c r="E31" s="48"/>
      <c r="F31" s="48"/>
      <c r="G31" s="48"/>
      <c r="H31" s="48"/>
      <c r="I31" s="48"/>
      <c r="J31" s="48"/>
      <c r="K31" s="55">
        <f>SUM(K10:K30)</f>
        <v>24975</v>
      </c>
      <c r="L31" s="55">
        <f>SUM(L10:L30)</f>
        <v>25125</v>
      </c>
    </row>
    <row r="32" spans="1:14" ht="15.75" customHeight="1" thickTop="1" x14ac:dyDescent="0.25">
      <c r="A32" s="44"/>
      <c r="B32" s="45"/>
      <c r="C32" s="46"/>
      <c r="K32" s="47"/>
      <c r="L32" s="47"/>
    </row>
    <row r="33" spans="1:13" ht="54.75" customHeight="1" x14ac:dyDescent="0.2">
      <c r="A33" s="91" t="s">
        <v>200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</row>
    <row r="34" spans="1:13" x14ac:dyDescent="0.2">
      <c r="A34" s="30" t="s">
        <v>197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</row>
  </sheetData>
  <mergeCells count="2">
    <mergeCell ref="A33:M33"/>
    <mergeCell ref="B17:G17"/>
  </mergeCells>
  <pageMargins left="0.62992125984251968" right="0.23622047244094491" top="0.74803149606299213" bottom="0.74803149606299213" header="0.31496062992125984" footer="0.31496062992125984"/>
  <pageSetup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3BFB0-CBFA-4532-AD9C-4F0689221763}">
  <dimension ref="A1:H39"/>
  <sheetViews>
    <sheetView tabSelected="1" workbookViewId="0">
      <selection activeCell="E38" sqref="E38"/>
    </sheetView>
  </sheetViews>
  <sheetFormatPr defaultRowHeight="15" x14ac:dyDescent="0.25"/>
  <cols>
    <col min="1" max="1" width="2.5703125" customWidth="1"/>
    <col min="2" max="2" width="2.28515625" customWidth="1"/>
    <col min="3" max="3" width="12.28515625" customWidth="1"/>
    <col min="4" max="4" width="48.5703125" customWidth="1"/>
    <col min="5" max="5" width="22.85546875" style="65" customWidth="1"/>
    <col min="6" max="7" width="8.7109375" style="65" bestFit="1" customWidth="1"/>
    <col min="8" max="8" width="28" customWidth="1"/>
    <col min="9" max="9" width="22.85546875" customWidth="1"/>
    <col min="12" max="12" width="6.7109375" customWidth="1"/>
  </cols>
  <sheetData>
    <row r="1" spans="1:8" ht="18" customHeight="1" x14ac:dyDescent="0.25">
      <c r="A1" s="64" t="s">
        <v>220</v>
      </c>
      <c r="B1" s="70"/>
    </row>
    <row r="2" spans="1:8" x14ac:dyDescent="0.25">
      <c r="A2" s="2"/>
      <c r="C2" s="66" t="s">
        <v>237</v>
      </c>
    </row>
    <row r="3" spans="1:8" ht="27" customHeight="1" x14ac:dyDescent="0.25">
      <c r="A3" s="2"/>
      <c r="C3" s="93" t="s">
        <v>221</v>
      </c>
      <c r="D3" s="93"/>
      <c r="E3" s="93"/>
      <c r="F3" s="93"/>
    </row>
    <row r="4" spans="1:8" x14ac:dyDescent="0.25">
      <c r="A4" s="2"/>
      <c r="C4" s="66"/>
    </row>
    <row r="5" spans="1:8" x14ac:dyDescent="0.25">
      <c r="A5" s="2" t="s">
        <v>39</v>
      </c>
      <c r="B5" s="2"/>
      <c r="C5" s="2"/>
      <c r="D5" s="2"/>
      <c r="E5" s="2"/>
      <c r="F5" s="67"/>
      <c r="G5" s="67"/>
      <c r="H5" s="2"/>
    </row>
    <row r="6" spans="1:8" x14ac:dyDescent="0.25">
      <c r="A6" s="2"/>
      <c r="B6" s="2" t="s">
        <v>257</v>
      </c>
      <c r="C6" s="2"/>
      <c r="D6" s="2"/>
      <c r="E6" s="4" t="s">
        <v>222</v>
      </c>
      <c r="F6" s="68"/>
      <c r="G6" s="2"/>
      <c r="H6" s="2"/>
    </row>
    <row r="7" spans="1:8" ht="33.75" x14ac:dyDescent="0.25">
      <c r="A7" s="2"/>
      <c r="B7" s="2"/>
      <c r="C7" s="69" t="s">
        <v>41</v>
      </c>
      <c r="D7" s="70"/>
      <c r="E7" s="67" t="s">
        <v>223</v>
      </c>
      <c r="F7" s="68"/>
      <c r="G7" s="2"/>
      <c r="H7" s="2"/>
    </row>
    <row r="8" spans="1:8" x14ac:dyDescent="0.25">
      <c r="A8" s="2"/>
      <c r="B8" s="2"/>
      <c r="C8" s="2" t="s">
        <v>224</v>
      </c>
      <c r="D8" s="71">
        <v>176</v>
      </c>
      <c r="E8" s="72"/>
      <c r="F8" s="68"/>
      <c r="G8" s="2"/>
      <c r="H8" s="2"/>
    </row>
    <row r="9" spans="1:8" x14ac:dyDescent="0.25">
      <c r="A9" s="2"/>
      <c r="B9" s="2"/>
      <c r="C9" s="2"/>
      <c r="D9" s="4" t="s">
        <v>225</v>
      </c>
      <c r="E9" s="68">
        <f>$D8*3/2</f>
        <v>264</v>
      </c>
      <c r="F9" s="2"/>
      <c r="G9" s="2"/>
    </row>
    <row r="10" spans="1:8" x14ac:dyDescent="0.25">
      <c r="A10" s="2"/>
      <c r="B10" s="2"/>
      <c r="C10" s="2"/>
      <c r="D10" s="4" t="s">
        <v>226</v>
      </c>
      <c r="E10" s="68">
        <f>$D8*3/2</f>
        <v>264</v>
      </c>
      <c r="F10" s="2"/>
      <c r="G10" s="2"/>
    </row>
    <row r="11" spans="1:8" x14ac:dyDescent="0.25">
      <c r="A11" s="2"/>
      <c r="B11" s="2"/>
      <c r="C11" s="2"/>
      <c r="D11" s="4" t="s">
        <v>227</v>
      </c>
      <c r="E11" s="68">
        <f>0*$D8</f>
        <v>0</v>
      </c>
      <c r="F11" s="2"/>
      <c r="G11" s="2"/>
    </row>
    <row r="12" spans="1:8" x14ac:dyDescent="0.25">
      <c r="A12" s="2"/>
      <c r="B12" s="2"/>
      <c r="C12" s="2"/>
      <c r="D12" s="4" t="s">
        <v>228</v>
      </c>
      <c r="E12" s="68">
        <f>$D8*2/2</f>
        <v>176</v>
      </c>
      <c r="F12" s="2"/>
      <c r="G12" s="2"/>
    </row>
    <row r="13" spans="1:8" x14ac:dyDescent="0.25">
      <c r="A13" s="2"/>
      <c r="B13" s="2"/>
      <c r="C13" s="2"/>
      <c r="D13" s="4" t="s">
        <v>229</v>
      </c>
      <c r="E13" s="68">
        <f>$D8*3/2</f>
        <v>264</v>
      </c>
      <c r="F13" s="2"/>
      <c r="G13" s="2"/>
    </row>
    <row r="14" spans="1:8" x14ac:dyDescent="0.25">
      <c r="A14" s="2"/>
      <c r="B14" s="2"/>
      <c r="C14" s="2"/>
      <c r="D14" s="4" t="s">
        <v>230</v>
      </c>
      <c r="E14" s="68">
        <f>3*$D8/2</f>
        <v>264</v>
      </c>
      <c r="F14" s="2"/>
      <c r="G14" s="2"/>
    </row>
    <row r="15" spans="1:8" x14ac:dyDescent="0.25">
      <c r="A15" s="2"/>
      <c r="B15" s="2"/>
      <c r="C15" s="2"/>
      <c r="D15" s="4" t="s">
        <v>256</v>
      </c>
      <c r="E15" s="68">
        <f>0*$D8/2</f>
        <v>0</v>
      </c>
      <c r="F15" s="2"/>
      <c r="G15" s="2"/>
    </row>
    <row r="16" spans="1:8" ht="15.75" thickBot="1" x14ac:dyDescent="0.3">
      <c r="A16" s="2"/>
      <c r="B16" s="2"/>
      <c r="C16" s="2"/>
      <c r="D16" s="4" t="s">
        <v>238</v>
      </c>
      <c r="E16" s="73">
        <f>D8</f>
        <v>176</v>
      </c>
      <c r="F16" s="2"/>
      <c r="G16" s="2"/>
    </row>
    <row r="17" spans="1:8" x14ac:dyDescent="0.25">
      <c r="A17" s="2"/>
      <c r="B17" s="2"/>
      <c r="C17" s="2"/>
      <c r="D17" s="2" t="s">
        <v>231</v>
      </c>
      <c r="E17" s="74">
        <f>SUM(E9:E16)</f>
        <v>1408</v>
      </c>
      <c r="F17" s="2"/>
      <c r="G17" s="2"/>
    </row>
    <row r="18" spans="1:8" ht="15" customHeight="1" x14ac:dyDescent="0.25">
      <c r="A18" s="2"/>
      <c r="B18" s="2"/>
      <c r="C18" s="2" t="s">
        <v>42</v>
      </c>
      <c r="D18" s="75" t="s">
        <v>242</v>
      </c>
      <c r="F18" s="67" t="s">
        <v>239</v>
      </c>
      <c r="G18" s="67" t="s">
        <v>240</v>
      </c>
      <c r="H18" s="67" t="s">
        <v>243</v>
      </c>
    </row>
    <row r="19" spans="1:8" x14ac:dyDescent="0.25">
      <c r="A19" s="2"/>
      <c r="B19" s="2"/>
      <c r="C19" s="2"/>
      <c r="D19" s="4" t="s">
        <v>225</v>
      </c>
      <c r="E19" s="68">
        <f>D$18*F19</f>
        <v>50</v>
      </c>
      <c r="F19" s="66">
        <v>1</v>
      </c>
      <c r="G19" s="66">
        <v>3</v>
      </c>
    </row>
    <row r="20" spans="1:8" x14ac:dyDescent="0.25">
      <c r="A20" s="2"/>
      <c r="B20" s="2"/>
      <c r="C20" s="2"/>
      <c r="D20" s="4" t="s">
        <v>226</v>
      </c>
      <c r="E20" s="68">
        <f t="shared" ref="E20:E26" si="0">D$18*F20</f>
        <v>150</v>
      </c>
      <c r="F20" s="66">
        <v>3</v>
      </c>
      <c r="G20" s="66">
        <v>2</v>
      </c>
    </row>
    <row r="21" spans="1:8" x14ac:dyDescent="0.25">
      <c r="A21" s="2"/>
      <c r="B21" s="2"/>
      <c r="C21" s="2"/>
      <c r="D21" s="4" t="s">
        <v>227</v>
      </c>
      <c r="E21" s="68">
        <f>4*D18</f>
        <v>200</v>
      </c>
      <c r="F21" s="66"/>
      <c r="G21" s="66"/>
    </row>
    <row r="22" spans="1:8" x14ac:dyDescent="0.25">
      <c r="A22" s="2"/>
      <c r="B22" s="2"/>
      <c r="C22" s="2"/>
      <c r="D22" s="4" t="s">
        <v>228</v>
      </c>
      <c r="E22" s="68">
        <f t="shared" si="0"/>
        <v>50</v>
      </c>
      <c r="F22" s="66">
        <v>1</v>
      </c>
      <c r="G22" s="66">
        <v>2</v>
      </c>
    </row>
    <row r="23" spans="1:8" x14ac:dyDescent="0.25">
      <c r="A23" s="2"/>
      <c r="B23" s="2"/>
      <c r="C23" s="2"/>
      <c r="D23" s="4" t="s">
        <v>229</v>
      </c>
      <c r="E23" s="68">
        <f t="shared" si="0"/>
        <v>50</v>
      </c>
      <c r="F23" s="66">
        <v>1</v>
      </c>
      <c r="G23" s="66">
        <v>3</v>
      </c>
    </row>
    <row r="24" spans="1:8" x14ac:dyDescent="0.25">
      <c r="A24" s="2"/>
      <c r="B24" s="2"/>
      <c r="C24" s="2"/>
      <c r="D24" s="4" t="s">
        <v>230</v>
      </c>
      <c r="E24" s="68">
        <f t="shared" si="0"/>
        <v>50</v>
      </c>
      <c r="F24" s="66">
        <v>1</v>
      </c>
      <c r="G24" s="66">
        <v>3</v>
      </c>
    </row>
    <row r="25" spans="1:8" x14ac:dyDescent="0.25">
      <c r="A25" s="2"/>
      <c r="B25" s="2"/>
      <c r="C25" s="2"/>
      <c r="D25" s="4" t="s">
        <v>234</v>
      </c>
      <c r="E25" s="68">
        <f t="shared" si="0"/>
        <v>50</v>
      </c>
      <c r="F25" s="66">
        <v>1</v>
      </c>
      <c r="G25" s="66">
        <v>2</v>
      </c>
    </row>
    <row r="26" spans="1:8" ht="15.75" thickBot="1" x14ac:dyDescent="0.3">
      <c r="A26" s="2"/>
      <c r="B26" s="2"/>
      <c r="C26" s="2"/>
      <c r="D26" s="4" t="s">
        <v>238</v>
      </c>
      <c r="E26" s="68">
        <f t="shared" si="0"/>
        <v>50</v>
      </c>
      <c r="F26" s="66">
        <v>1</v>
      </c>
      <c r="G26" s="66">
        <v>1</v>
      </c>
    </row>
    <row r="27" spans="1:8" ht="15.75" thickBot="1" x14ac:dyDescent="0.3">
      <c r="A27" s="2"/>
      <c r="B27" s="2"/>
      <c r="C27" s="2"/>
      <c r="D27" s="2" t="s">
        <v>232</v>
      </c>
      <c r="E27" s="76">
        <f t="shared" ref="E27" si="1">SUM(E19:E26)</f>
        <v>650</v>
      </c>
      <c r="F27"/>
      <c r="G27"/>
    </row>
    <row r="28" spans="1:8" x14ac:dyDescent="0.25">
      <c r="A28" s="2"/>
      <c r="B28" s="2"/>
      <c r="C28" s="2" t="s">
        <v>43</v>
      </c>
      <c r="D28" s="2"/>
      <c r="E28" s="2"/>
      <c r="F28"/>
      <c r="G28"/>
    </row>
    <row r="29" spans="1:8" x14ac:dyDescent="0.25">
      <c r="A29" s="2"/>
      <c r="B29" s="2"/>
      <c r="C29" s="2"/>
      <c r="D29" s="4" t="s">
        <v>225</v>
      </c>
      <c r="E29" s="68">
        <f>0.35*503*2</f>
        <v>352.09999999999997</v>
      </c>
      <c r="F29"/>
      <c r="G29"/>
    </row>
    <row r="30" spans="1:8" x14ac:dyDescent="0.25">
      <c r="A30" s="2"/>
      <c r="B30" s="2"/>
      <c r="C30" s="2"/>
      <c r="D30" s="4" t="s">
        <v>226</v>
      </c>
      <c r="E30" s="68">
        <f>0.35*299*2*2</f>
        <v>418.59999999999997</v>
      </c>
      <c r="F30" s="66" t="s">
        <v>245</v>
      </c>
      <c r="G30"/>
    </row>
    <row r="31" spans="1:8" x14ac:dyDescent="0.25">
      <c r="A31" s="2"/>
      <c r="B31" s="2"/>
      <c r="C31" s="2"/>
      <c r="D31" s="4" t="s">
        <v>235</v>
      </c>
      <c r="E31" s="68">
        <v>0</v>
      </c>
      <c r="F31"/>
      <c r="G31"/>
    </row>
    <row r="32" spans="1:8" x14ac:dyDescent="0.25">
      <c r="A32" s="2"/>
      <c r="B32" s="2"/>
      <c r="C32" s="2"/>
      <c r="D32" s="4" t="s">
        <v>228</v>
      </c>
      <c r="E32" s="68">
        <f>0.35*155*2</f>
        <v>108.5</v>
      </c>
      <c r="F32"/>
      <c r="G32"/>
    </row>
    <row r="33" spans="1:7" x14ac:dyDescent="0.25">
      <c r="A33" s="2"/>
      <c r="B33" s="2"/>
      <c r="C33" s="2"/>
      <c r="D33" s="4" t="s">
        <v>236</v>
      </c>
      <c r="E33" s="68">
        <f>0.35*458*2</f>
        <v>320.59999999999997</v>
      </c>
      <c r="F33"/>
      <c r="G33"/>
    </row>
    <row r="34" spans="1:7" x14ac:dyDescent="0.25">
      <c r="A34" s="2"/>
      <c r="B34" s="2"/>
      <c r="C34" s="2"/>
      <c r="D34" s="4" t="s">
        <v>230</v>
      </c>
      <c r="E34" s="68">
        <f>0.35*529*2</f>
        <v>370.29999999999995</v>
      </c>
      <c r="F34"/>
      <c r="G34"/>
    </row>
    <row r="35" spans="1:7" x14ac:dyDescent="0.25">
      <c r="A35" s="2"/>
      <c r="B35" s="2"/>
      <c r="C35" s="2"/>
      <c r="D35" s="4" t="s">
        <v>244</v>
      </c>
      <c r="E35" s="68">
        <f>434*0.35*2</f>
        <v>303.79999999999995</v>
      </c>
      <c r="F35"/>
      <c r="G35"/>
    </row>
    <row r="36" spans="1:7" ht="15.75" thickBot="1" x14ac:dyDescent="0.3">
      <c r="A36" s="2"/>
      <c r="B36" s="2"/>
      <c r="C36" s="2"/>
      <c r="D36" s="4" t="s">
        <v>238</v>
      </c>
      <c r="E36" s="73">
        <f>0.35*147*2</f>
        <v>102.89999999999999</v>
      </c>
      <c r="F36"/>
      <c r="G36"/>
    </row>
    <row r="37" spans="1:7" ht="15.75" thickBot="1" x14ac:dyDescent="0.3">
      <c r="A37" s="2"/>
      <c r="B37" s="2"/>
      <c r="C37" s="2"/>
      <c r="D37" s="4" t="s">
        <v>246</v>
      </c>
      <c r="E37" s="73">
        <f>20*12*2</f>
        <v>480</v>
      </c>
      <c r="F37"/>
      <c r="G37"/>
    </row>
    <row r="38" spans="1:7" ht="15.75" thickBot="1" x14ac:dyDescent="0.3">
      <c r="A38" s="2"/>
      <c r="B38" s="2"/>
      <c r="C38" s="2"/>
      <c r="D38" s="2" t="s">
        <v>233</v>
      </c>
      <c r="E38" s="76">
        <f>SUM(E29:E37)</f>
        <v>2456.8000000000002</v>
      </c>
      <c r="F38"/>
      <c r="G38"/>
    </row>
    <row r="39" spans="1:7" ht="24" customHeight="1" x14ac:dyDescent="0.25">
      <c r="A39" s="2"/>
      <c r="B39" s="2" t="s">
        <v>49</v>
      </c>
      <c r="C39" s="2"/>
      <c r="D39" s="2"/>
      <c r="E39" s="74">
        <f>E38+E27+E17</f>
        <v>4514.8</v>
      </c>
      <c r="F39"/>
      <c r="G39"/>
    </row>
  </sheetData>
  <mergeCells count="1">
    <mergeCell ref="C3:F3"/>
  </mergeCells>
  <pageMargins left="0.70866141732283472" right="0.70866141732283472" top="0.74803149606299213" bottom="0.74803149606299213" header="0.31496062992125984" footer="0.31496062992125984"/>
  <pageSetup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Profit &amp; Loss with Budget</vt:lpstr>
      <vt:lpstr>Recognition Fund</vt:lpstr>
      <vt:lpstr>Board Expenses</vt:lpstr>
      <vt:lpstr>'Profit &amp; Loss with Budget'!Print_Area</vt:lpstr>
      <vt:lpstr>'Profit &amp; Loss with Budget'!Print_Titles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Alberta Registered Music Teachers' Association</dc:creator>
  <cp:lastModifiedBy>Alberta Registered Music Teachers' Association</cp:lastModifiedBy>
  <cp:lastPrinted>2020-03-13T03:39:48Z</cp:lastPrinted>
  <dcterms:created xsi:type="dcterms:W3CDTF">2020-02-04T21:23:46Z</dcterms:created>
  <dcterms:modified xsi:type="dcterms:W3CDTF">2020-03-13T03:40:00Z</dcterms:modified>
</cp:coreProperties>
</file>